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customProperty3.bin" ContentType="application/vnd.openxmlformats-officedocument.spreadsheetml.customProperty"/>
  <Override PartName="/xl/drawings/drawing4.xml" ContentType="application/vnd.openxmlformats-officedocument.drawing+xml"/>
  <Override PartName="/xl/drawings/drawing5.xml" ContentType="application/vnd.openxmlformats-officedocument.drawing+xml"/>
  <Override PartName="/xl/customProperty4.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ustomProperty5.bin" ContentType="application/vnd.openxmlformats-officedocument.spreadsheetml.customProperty"/>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14.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53222"/>
  <mc:AlternateContent xmlns:mc="http://schemas.openxmlformats.org/markup-compatibility/2006">
    <mc:Choice Requires="x15">
      <x15ac:absPath xmlns:x15ac="http://schemas.microsoft.com/office/spreadsheetml/2010/11/ac" url="B:\Berechnungstools\Offerttool\Version Internet\"/>
    </mc:Choice>
  </mc:AlternateContent>
  <bookViews>
    <workbookView xWindow="-12" yWindow="-12" windowWidth="14280" windowHeight="7488" tabRatio="817"/>
  </bookViews>
  <sheets>
    <sheet name="Input" sheetId="1" r:id="rId1"/>
    <sheet name="Einkaufsberechnung" sheetId="36" state="hidden" r:id="rId2"/>
    <sheet name="Übersetzungen" sheetId="28" state="hidden" r:id="rId3"/>
    <sheet name="Ausweis-Certificat" sheetId="12" r:id="rId4"/>
    <sheet name="Zusatzblatt-Feuille supplément." sheetId="25" r:id="rId5"/>
    <sheet name="Plan-Piano" sheetId="15" r:id="rId6"/>
    <sheet name="Angemessenh.-Adéquation" sheetId="27" state="hidden" r:id="rId7"/>
    <sheet name="Vertrag SE" sheetId="21" r:id="rId8"/>
    <sheet name="Contrat indép." sheetId="29" r:id="rId9"/>
    <sheet name="Contratto Indipend." sheetId="30" r:id="rId10"/>
    <sheet name="Vertrag Arbeitgeber" sheetId="24" r:id="rId11"/>
    <sheet name="Contrat employeur" sheetId="32" r:id="rId12"/>
    <sheet name="Contratto datore di lavoro" sheetId="31" r:id="rId13"/>
    <sheet name="Mutationsmeldung SE" sheetId="33" r:id="rId14"/>
    <sheet name="Avis de mutation pour indép." sheetId="34" r:id="rId15"/>
    <sheet name="Archiv" sheetId="23" r:id="rId16"/>
    <sheet name="Wertebereich" sheetId="14" state="hidden" r:id="rId17"/>
    <sheet name="Renten" sheetId="5" state="hidden" r:id="rId18"/>
    <sheet name="Beitrag" sheetId="2" state="hidden" r:id="rId19"/>
    <sheet name="Leistungen" sheetId="7" state="hidden" r:id="rId20"/>
    <sheet name="Versionen" sheetId="20" state="hidden" r:id="rId21"/>
    <sheet name="Ablauf" sheetId="26" state="hidden" r:id="rId22"/>
    <sheet name="Decodierung" sheetId="18" state="hidden" r:id="rId23"/>
    <sheet name="Plan-Nr." sheetId="19" state="hidden" r:id="rId24"/>
    <sheet name="Formeln" sheetId="13" state="hidden" r:id="rId25"/>
    <sheet name="Module" sheetId="4" state="hidden" r:id="rId26"/>
  </sheets>
  <definedNames>
    <definedName name="_xlnm.Print_Area" localSheetId="6">'Angemessenh.-Adéquation'!$A$1:$J$53</definedName>
    <definedName name="_xlnm.Print_Area" localSheetId="3">'Ausweis-Certificat'!$A$1:$J$61</definedName>
    <definedName name="_xlnm.Print_Area" localSheetId="14">'Avis de mutation pour indép.'!$A$1:$I$138</definedName>
    <definedName name="_xlnm.Print_Area" localSheetId="11">'Contrat employeur'!$A$4:$I$158</definedName>
    <definedName name="_xlnm.Print_Area" localSheetId="8">'Contrat indép.'!$A$3:$I$165</definedName>
    <definedName name="_xlnm.Print_Area" localSheetId="12">'Contratto datore di lavoro'!$A$4:$I$158</definedName>
    <definedName name="_xlnm.Print_Area" localSheetId="9">'Contratto Indipend.'!$A$3:$I$162</definedName>
    <definedName name="_xlnm.Print_Area" localSheetId="22">Decodierung!$A$1:$T$27</definedName>
    <definedName name="_xlnm.Print_Area" localSheetId="1">Einkaufsberechnung!$A$7:$D$22</definedName>
    <definedName name="_xlnm.Print_Area" localSheetId="0">Input!$A$1:$H$92</definedName>
    <definedName name="_xlnm.Print_Area" localSheetId="13">'Mutationsmeldung SE'!$A$1:$I$139</definedName>
    <definedName name="_xlnm.Print_Area" localSheetId="5">'Plan-Piano'!$A$1:$N$61</definedName>
    <definedName name="_xlnm.Print_Area" localSheetId="10">'Vertrag Arbeitgeber'!$A$4:$I$166</definedName>
    <definedName name="_xlnm.Print_Area" localSheetId="7">'Vertrag SE'!$A$3:$I$168</definedName>
    <definedName name="_xlnm.Print_Area" localSheetId="4">'Zusatzblatt-Feuille supplément.'!$A$1:$J$52</definedName>
    <definedName name="_xlnm.Print_Titles" localSheetId="0">Input!$1:$1</definedName>
    <definedName name="Print_Area" localSheetId="1">Einkaufsberechnung!$A$7:$D$20</definedName>
    <definedName name="Z_98ECAA85_61A5_465B_8E06_A2826B47F443_.wvu.PrintArea" localSheetId="1" hidden="1">Einkaufsberechnung!$A$7:$D$20</definedName>
  </definedNames>
  <calcPr calcId="152511"/>
</workbook>
</file>

<file path=xl/calcChain.xml><?xml version="1.0" encoding="utf-8"?>
<calcChain xmlns="http://schemas.openxmlformats.org/spreadsheetml/2006/main">
  <c r="D181" i="28" l="1"/>
  <c r="Y76" i="5" l="1"/>
  <c r="Y77" i="5"/>
  <c r="Y78" i="5"/>
  <c r="Y79" i="5"/>
  <c r="Y75" i="5"/>
  <c r="Q70" i="5" l="1"/>
  <c r="Q71" i="5" s="1"/>
  <c r="B64" i="1" l="1"/>
  <c r="V81" i="5"/>
  <c r="S81" i="5"/>
  <c r="W81" i="5"/>
  <c r="F64" i="1" s="1"/>
  <c r="B52" i="5"/>
  <c r="H90" i="1"/>
  <c r="AD11" i="2" l="1"/>
  <c r="AD10" i="2"/>
  <c r="AD9" i="2"/>
  <c r="AD13" i="2" l="1"/>
  <c r="AD8" i="2"/>
  <c r="L16" i="14" l="1"/>
  <c r="AU38" i="2"/>
  <c r="AS38" i="2"/>
  <c r="AM38" i="2"/>
  <c r="AE38" i="2"/>
  <c r="D354" i="28" l="1"/>
  <c r="D353" i="28"/>
  <c r="B4" i="2"/>
  <c r="U17" i="14"/>
  <c r="V16" i="14" s="1"/>
  <c r="D320" i="28"/>
  <c r="M23" i="1" s="1"/>
  <c r="D321" i="28"/>
  <c r="M24" i="1" s="1"/>
  <c r="A53" i="12" l="1"/>
  <c r="B53" i="12"/>
  <c r="D16" i="36" l="1"/>
  <c r="C5" i="36" l="1"/>
  <c r="C9" i="36"/>
  <c r="D8" i="36"/>
  <c r="A8" i="36"/>
  <c r="AC9" i="2" l="1"/>
  <c r="AC13" i="2" s="1"/>
  <c r="AC8" i="2"/>
  <c r="AB9" i="2"/>
  <c r="AB8" i="2"/>
  <c r="D363" i="28" l="1"/>
  <c r="A16" i="15" s="1"/>
  <c r="D364" i="28"/>
  <c r="AB13" i="2"/>
  <c r="B41" i="25" l="1"/>
  <c r="B30" i="12"/>
  <c r="H138" i="30"/>
  <c r="H141" i="29"/>
  <c r="H150" i="21"/>
  <c r="AA13" i="2" l="1"/>
  <c r="D43" i="34" l="1"/>
  <c r="A43" i="34"/>
  <c r="H20" i="34"/>
  <c r="E25" i="34" s="1"/>
  <c r="H17" i="34"/>
  <c r="E12" i="34"/>
  <c r="A12" i="34"/>
  <c r="D94" i="31" l="1"/>
  <c r="D93" i="32"/>
  <c r="D99" i="24" l="1"/>
  <c r="Z13" i="2" l="1"/>
  <c r="D305" i="28" l="1"/>
  <c r="M8" i="1" s="1"/>
  <c r="B33" i="1" l="1"/>
  <c r="D331" i="28"/>
  <c r="D332" i="28"/>
  <c r="D333" i="28"/>
  <c r="D242" i="28" l="1"/>
  <c r="D201" i="28" l="1"/>
  <c r="H17" i="1" l="1"/>
  <c r="K1" i="1"/>
  <c r="J15" i="12" l="1"/>
  <c r="J13" i="12"/>
  <c r="J12" i="12"/>
  <c r="D43" i="33" l="1"/>
  <c r="A43" i="33"/>
  <c r="H20" i="33"/>
  <c r="E25" i="33" s="1"/>
  <c r="H17" i="33"/>
  <c r="E12" i="33"/>
  <c r="A12" i="33"/>
  <c r="D42" i="28"/>
  <c r="M32" i="1" s="1"/>
  <c r="D43" i="28"/>
  <c r="M33" i="1" s="1"/>
  <c r="E31" i="34" l="1"/>
  <c r="E31" i="33"/>
  <c r="J4" i="32"/>
  <c r="C58" i="32" l="1"/>
  <c r="A37" i="32"/>
  <c r="A36" i="32"/>
  <c r="A37" i="24"/>
  <c r="A36" i="24"/>
  <c r="J4" i="24"/>
  <c r="A1" i="32"/>
  <c r="D59" i="31"/>
  <c r="A37" i="31"/>
  <c r="A36" i="31"/>
  <c r="J4" i="31"/>
  <c r="A1" i="31" s="1"/>
  <c r="G54" i="30"/>
  <c r="F52" i="30"/>
  <c r="I36" i="30"/>
  <c r="I33" i="30"/>
  <c r="F33" i="30"/>
  <c r="A33" i="30"/>
  <c r="A28" i="30"/>
  <c r="J3" i="30"/>
  <c r="A1" i="30" s="1"/>
  <c r="G54" i="29"/>
  <c r="F52" i="29"/>
  <c r="I36" i="29"/>
  <c r="I33" i="29"/>
  <c r="F33" i="29"/>
  <c r="A33" i="29"/>
  <c r="A28" i="29"/>
  <c r="J3" i="29"/>
  <c r="A1" i="29" s="1"/>
  <c r="D443" i="28" l="1"/>
  <c r="B51" i="27" s="1"/>
  <c r="D442" i="28"/>
  <c r="D441" i="28"/>
  <c r="B49" i="27" s="1"/>
  <c r="D440" i="28"/>
  <c r="D439" i="28"/>
  <c r="B47" i="27" s="1"/>
  <c r="D438" i="28"/>
  <c r="B45" i="27" s="1"/>
  <c r="D437" i="28"/>
  <c r="B43" i="27" s="1"/>
  <c r="D436" i="28"/>
  <c r="B42" i="27" s="1"/>
  <c r="D435" i="28"/>
  <c r="B40" i="27" s="1"/>
  <c r="D434" i="28"/>
  <c r="B39" i="27" s="1"/>
  <c r="D433" i="28"/>
  <c r="B38" i="27" s="1"/>
  <c r="D432" i="28"/>
  <c r="B37" i="27" s="1"/>
  <c r="D431" i="28"/>
  <c r="B36" i="27" s="1"/>
  <c r="D430" i="28"/>
  <c r="B34" i="27" s="1"/>
  <c r="D429" i="28"/>
  <c r="B33" i="27" s="1"/>
  <c r="D428" i="28"/>
  <c r="B32" i="27" s="1"/>
  <c r="D427" i="28"/>
  <c r="B30" i="27" s="1"/>
  <c r="D426" i="28"/>
  <c r="B29" i="27" s="1"/>
  <c r="D425" i="28"/>
  <c r="D424" i="28"/>
  <c r="D423" i="28"/>
  <c r="B26" i="27" s="1"/>
  <c r="D422" i="28"/>
  <c r="B24" i="27" s="1"/>
  <c r="D421" i="28"/>
  <c r="B23" i="27" s="1"/>
  <c r="D420" i="28"/>
  <c r="D419" i="28"/>
  <c r="D418" i="28"/>
  <c r="B21" i="27" s="1"/>
  <c r="D417" i="28"/>
  <c r="F17" i="27" s="1"/>
  <c r="D416" i="28"/>
  <c r="A7" i="27" s="1"/>
  <c r="B52" i="14"/>
  <c r="G26" i="27" l="1"/>
  <c r="D401" i="28"/>
  <c r="D362" i="28"/>
  <c r="A15" i="15" s="1"/>
  <c r="A17" i="15"/>
  <c r="D365" i="28"/>
  <c r="D340" i="28"/>
  <c r="A7" i="15" s="1"/>
  <c r="D341" i="28"/>
  <c r="D342" i="28"/>
  <c r="D343" i="28"/>
  <c r="D344" i="28"/>
  <c r="D345" i="28"/>
  <c r="D346" i="28"/>
  <c r="D347" i="28"/>
  <c r="D348" i="28"/>
  <c r="D349" i="28"/>
  <c r="D350" i="28"/>
  <c r="D351" i="28"/>
  <c r="D352" i="28"/>
  <c r="D355" i="28"/>
  <c r="D356" i="28"/>
  <c r="D357" i="28"/>
  <c r="D358" i="28"/>
  <c r="D359" i="28"/>
  <c r="D360" i="28"/>
  <c r="D361" i="28"/>
  <c r="D366" i="28"/>
  <c r="D367" i="28"/>
  <c r="A21" i="15" s="1"/>
  <c r="D368" i="28"/>
  <c r="D369" i="28"/>
  <c r="D370" i="28"/>
  <c r="A25" i="15" s="1"/>
  <c r="D371" i="28"/>
  <c r="A27" i="15" s="1"/>
  <c r="D372" i="28"/>
  <c r="A29" i="15" s="1"/>
  <c r="D373" i="28"/>
  <c r="A30" i="15" s="1"/>
  <c r="D374" i="28"/>
  <c r="A31" i="15" s="1"/>
  <c r="D375" i="28"/>
  <c r="A32" i="15" s="1"/>
  <c r="D376" i="28"/>
  <c r="D377" i="28"/>
  <c r="D378" i="28"/>
  <c r="D379" i="28"/>
  <c r="D380" i="28"/>
  <c r="D381" i="28"/>
  <c r="D382" i="28"/>
  <c r="D383" i="28"/>
  <c r="D384" i="28"/>
  <c r="D385" i="28"/>
  <c r="D386" i="28"/>
  <c r="D387" i="28"/>
  <c r="D388" i="28"/>
  <c r="D389" i="28"/>
  <c r="D390" i="28"/>
  <c r="D391" i="28"/>
  <c r="A39" i="15" s="1"/>
  <c r="D392" i="28"/>
  <c r="D393" i="28"/>
  <c r="D394" i="28"/>
  <c r="D395" i="28"/>
  <c r="D396" i="28"/>
  <c r="D397" i="28"/>
  <c r="D398" i="28"/>
  <c r="A44" i="15" s="1"/>
  <c r="D399" i="28"/>
  <c r="A46" i="15" s="1"/>
  <c r="D400" i="28"/>
  <c r="A48" i="15" s="1"/>
  <c r="B48" i="15"/>
  <c r="D402" i="28"/>
  <c r="D403" i="28"/>
  <c r="D404" i="28"/>
  <c r="I48" i="15" s="1"/>
  <c r="D405" i="28"/>
  <c r="K48" i="15" s="1"/>
  <c r="D406" i="28"/>
  <c r="M48" i="15" s="1"/>
  <c r="D407" i="28"/>
  <c r="A57" i="15" s="1"/>
  <c r="D408" i="28"/>
  <c r="D339" i="28"/>
  <c r="A2" i="15" s="1"/>
  <c r="D313" i="28"/>
  <c r="G22" i="1"/>
  <c r="G21" i="1"/>
  <c r="D330" i="28"/>
  <c r="D329" i="28"/>
  <c r="D328" i="28"/>
  <c r="D327" i="28"/>
  <c r="M78" i="1" s="1"/>
  <c r="D326" i="28"/>
  <c r="M75" i="1" s="1"/>
  <c r="D325" i="28"/>
  <c r="M58" i="1" s="1"/>
  <c r="D324" i="28"/>
  <c r="M53" i="1" s="1"/>
  <c r="D323" i="28"/>
  <c r="M37" i="1" s="1"/>
  <c r="D322" i="28"/>
  <c r="M34" i="1" s="1"/>
  <c r="D319" i="28"/>
  <c r="M22" i="1" s="1"/>
  <c r="D318" i="28"/>
  <c r="M21" i="1" s="1"/>
  <c r="D317" i="28"/>
  <c r="M20" i="1" s="1"/>
  <c r="D316" i="28"/>
  <c r="M19" i="1" s="1"/>
  <c r="D315" i="28"/>
  <c r="M18" i="1" s="1"/>
  <c r="D314" i="28"/>
  <c r="M17" i="1" s="1"/>
  <c r="D312" i="28"/>
  <c r="M16" i="1" s="1"/>
  <c r="D311" i="28"/>
  <c r="D310" i="28"/>
  <c r="M13" i="1" s="1"/>
  <c r="D309" i="28"/>
  <c r="M12" i="1" s="1"/>
  <c r="D308" i="28"/>
  <c r="M11" i="1" s="1"/>
  <c r="D307" i="28"/>
  <c r="M10" i="1" s="1"/>
  <c r="D306" i="28"/>
  <c r="M9" i="1" s="1"/>
  <c r="D304" i="28"/>
  <c r="M7" i="1" s="1"/>
  <c r="D303" i="28"/>
  <c r="M6" i="1" s="1"/>
  <c r="D302" i="28"/>
  <c r="M5" i="1" s="1"/>
  <c r="D301" i="28"/>
  <c r="M4" i="1" s="1"/>
  <c r="D300" i="28"/>
  <c r="M3" i="1" s="1"/>
  <c r="D297" i="28"/>
  <c r="D287" i="28"/>
  <c r="D285" i="28"/>
  <c r="D299" i="28"/>
  <c r="F86" i="1" s="1"/>
  <c r="D298" i="28"/>
  <c r="A92" i="1" s="1"/>
  <c r="D296" i="28"/>
  <c r="D295" i="28"/>
  <c r="B89" i="1" s="1"/>
  <c r="D294" i="28"/>
  <c r="B88" i="1" s="1"/>
  <c r="D293" i="28"/>
  <c r="B87" i="1" s="1"/>
  <c r="D292" i="28"/>
  <c r="B86" i="1" s="1"/>
  <c r="D291" i="28"/>
  <c r="D290" i="28"/>
  <c r="G52" i="1" s="1"/>
  <c r="D289" i="28"/>
  <c r="D288" i="28"/>
  <c r="B53" i="1" s="1"/>
  <c r="D286" i="28"/>
  <c r="D284" i="28"/>
  <c r="D283" i="28"/>
  <c r="B49" i="1" s="1"/>
  <c r="D282" i="28"/>
  <c r="D281" i="28"/>
  <c r="D280" i="28"/>
  <c r="D279" i="28"/>
  <c r="D278" i="28"/>
  <c r="B47" i="1" s="1"/>
  <c r="D277" i="28"/>
  <c r="B35" i="1" s="1"/>
  <c r="D276" i="28"/>
  <c r="G28" i="1" s="1"/>
  <c r="D275" i="28"/>
  <c r="D274" i="28"/>
  <c r="D32" i="1" s="1"/>
  <c r="D273" i="28"/>
  <c r="D31" i="1" s="1"/>
  <c r="D272" i="28"/>
  <c r="D30" i="1" s="1"/>
  <c r="D271" i="28"/>
  <c r="D29" i="1" s="1"/>
  <c r="D270" i="28"/>
  <c r="D28" i="1" s="1"/>
  <c r="D269" i="28"/>
  <c r="B26" i="1" s="1"/>
  <c r="D268" i="28"/>
  <c r="B24" i="1" s="1"/>
  <c r="D267" i="28"/>
  <c r="B23" i="1" s="1"/>
  <c r="D266" i="28"/>
  <c r="B22" i="1" s="1"/>
  <c r="D265" i="28"/>
  <c r="B21" i="1" s="1"/>
  <c r="D264" i="28"/>
  <c r="D20" i="1" s="1"/>
  <c r="D263" i="28"/>
  <c r="B19" i="1" s="1"/>
  <c r="D262" i="28"/>
  <c r="B17" i="1" s="1"/>
  <c r="D261" i="28"/>
  <c r="B15" i="1" s="1"/>
  <c r="D260" i="28"/>
  <c r="B14" i="1" s="1"/>
  <c r="D259" i="28"/>
  <c r="B13" i="1" s="1"/>
  <c r="D258" i="28"/>
  <c r="B12" i="1" s="1"/>
  <c r="D257" i="28"/>
  <c r="B11" i="1" s="1"/>
  <c r="D256" i="28"/>
  <c r="B10" i="1" s="1"/>
  <c r="D255" i="28"/>
  <c r="B9" i="1" s="1"/>
  <c r="D254" i="28"/>
  <c r="B8" i="1" s="1"/>
  <c r="D253" i="28"/>
  <c r="B7" i="1" s="1"/>
  <c r="D252" i="28"/>
  <c r="B6" i="1" s="1"/>
  <c r="D251" i="28"/>
  <c r="B4" i="1" s="1"/>
  <c r="E34" i="34" l="1"/>
  <c r="E34" i="33"/>
  <c r="E29" i="34"/>
  <c r="E29" i="33"/>
  <c r="E35" i="33"/>
  <c r="E35" i="34"/>
  <c r="E32" i="33"/>
  <c r="E32" i="34"/>
  <c r="E27" i="33"/>
  <c r="E27" i="34"/>
  <c r="B90" i="1"/>
  <c r="M15" i="1"/>
  <c r="C95" i="32"/>
  <c r="C135" i="29"/>
  <c r="C132" i="30"/>
  <c r="C96" i="31"/>
  <c r="M77" i="1"/>
  <c r="M76" i="1"/>
  <c r="D176" i="28"/>
  <c r="D177" i="28"/>
  <c r="D178" i="28"/>
  <c r="D179" i="28"/>
  <c r="D180" i="28"/>
  <c r="D188" i="28"/>
  <c r="D186" i="28"/>
  <c r="D239" i="28"/>
  <c r="B24" i="25" s="1"/>
  <c r="D240" i="28"/>
  <c r="D24" i="25" s="1"/>
  <c r="D241" i="28"/>
  <c r="G24" i="25" s="1"/>
  <c r="I24" i="25"/>
  <c r="D238" i="28"/>
  <c r="D237" i="28"/>
  <c r="D236" i="28"/>
  <c r="A7" i="25" s="1"/>
  <c r="D230" i="28"/>
  <c r="A61" i="12" s="1"/>
  <c r="D229" i="28"/>
  <c r="D228" i="28"/>
  <c r="D223" i="28"/>
  <c r="A45" i="25" s="1"/>
  <c r="D221" i="28"/>
  <c r="D213" i="28"/>
  <c r="D196" i="28"/>
  <c r="D194" i="28"/>
  <c r="D193" i="28"/>
  <c r="D191" i="28"/>
  <c r="D192" i="28"/>
  <c r="E28" i="33" l="1"/>
  <c r="E28" i="34"/>
  <c r="F8" i="12"/>
  <c r="F9" i="25"/>
  <c r="I4" i="15" s="1"/>
  <c r="J9" i="25"/>
  <c r="N4" i="15" s="1"/>
  <c r="J8" i="12"/>
  <c r="A51" i="25"/>
  <c r="D185" i="28"/>
  <c r="D166" i="28"/>
  <c r="D163" i="28"/>
  <c r="D161" i="28"/>
  <c r="D155" i="28"/>
  <c r="O5" i="1" s="1"/>
  <c r="D156" i="28"/>
  <c r="O6" i="1" s="1"/>
  <c r="D157" i="28"/>
  <c r="O7" i="1" s="1"/>
  <c r="D158" i="28"/>
  <c r="O8" i="1" s="1"/>
  <c r="D154" i="28"/>
  <c r="D151" i="28"/>
  <c r="D5" i="28"/>
  <c r="D6" i="28"/>
  <c r="D7" i="28"/>
  <c r="D8" i="28"/>
  <c r="D9" i="28"/>
  <c r="D10" i="28"/>
  <c r="D11" i="28"/>
  <c r="D12" i="28"/>
  <c r="D13" i="28"/>
  <c r="D14" i="28"/>
  <c r="D15" i="28"/>
  <c r="D16" i="28"/>
  <c r="D17" i="28"/>
  <c r="D18" i="28"/>
  <c r="D19" i="28"/>
  <c r="D20" i="28"/>
  <c r="D21" i="28"/>
  <c r="D22" i="28"/>
  <c r="D23" i="28"/>
  <c r="D24" i="28"/>
  <c r="D25" i="28"/>
  <c r="D26" i="28"/>
  <c r="D27" i="28"/>
  <c r="D28" i="28"/>
  <c r="D29" i="28"/>
  <c r="D30" i="28"/>
  <c r="D31" i="28"/>
  <c r="D32" i="28"/>
  <c r="D33" i="28"/>
  <c r="D34" i="28"/>
  <c r="D35" i="28"/>
  <c r="D36" i="28"/>
  <c r="D37" i="28"/>
  <c r="D38" i="28"/>
  <c r="D39" i="28"/>
  <c r="D40" i="28"/>
  <c r="D41" i="28"/>
  <c r="D44" i="28"/>
  <c r="D45" i="28"/>
  <c r="D46" i="28"/>
  <c r="D47" i="28"/>
  <c r="D48" i="28"/>
  <c r="D49" i="28"/>
  <c r="D50" i="28"/>
  <c r="D51" i="28"/>
  <c r="D52" i="28"/>
  <c r="D53" i="28"/>
  <c r="D54" i="28"/>
  <c r="D55" i="28"/>
  <c r="D56" i="28"/>
  <c r="D57" i="28"/>
  <c r="D58" i="28"/>
  <c r="D59" i="28"/>
  <c r="D60" i="28"/>
  <c r="D61" i="28"/>
  <c r="D62" i="28"/>
  <c r="D63" i="28"/>
  <c r="M51" i="1" s="1"/>
  <c r="D64" i="28"/>
  <c r="M52" i="1" s="1"/>
  <c r="D65" i="28"/>
  <c r="D66" i="28"/>
  <c r="D67" i="28"/>
  <c r="D68" i="28"/>
  <c r="D69" i="28"/>
  <c r="D70" i="28"/>
  <c r="D71" i="28"/>
  <c r="D72" i="28"/>
  <c r="D73" i="28"/>
  <c r="D74" i="28"/>
  <c r="D75" i="28"/>
  <c r="D76" i="28"/>
  <c r="D81" i="28"/>
  <c r="D83" i="28"/>
  <c r="D84" i="28"/>
  <c r="D85" i="28"/>
  <c r="D86" i="28"/>
  <c r="D87" i="28"/>
  <c r="D88" i="28"/>
  <c r="D89" i="28"/>
  <c r="D90" i="28"/>
  <c r="D91" i="28"/>
  <c r="D92" i="28"/>
  <c r="D93" i="28"/>
  <c r="D94" i="28"/>
  <c r="D95" i="28"/>
  <c r="D96" i="28"/>
  <c r="D97" i="28"/>
  <c r="D98" i="28"/>
  <c r="D99" i="28"/>
  <c r="D100" i="28"/>
  <c r="D101" i="28"/>
  <c r="D102" i="28"/>
  <c r="D103" i="28"/>
  <c r="D104" i="28"/>
  <c r="D105" i="28"/>
  <c r="D106" i="28"/>
  <c r="D107" i="28"/>
  <c r="D108" i="28"/>
  <c r="D109" i="28"/>
  <c r="D110" i="28"/>
  <c r="D111" i="28"/>
  <c r="D112" i="28"/>
  <c r="D113" i="28"/>
  <c r="D114" i="28"/>
  <c r="D115" i="28"/>
  <c r="D116" i="28"/>
  <c r="D117" i="28"/>
  <c r="D118" i="28"/>
  <c r="D119" i="28"/>
  <c r="D120" i="28"/>
  <c r="D121" i="28"/>
  <c r="D122" i="28"/>
  <c r="D123" i="28"/>
  <c r="D124" i="28"/>
  <c r="D125" i="28"/>
  <c r="D126" i="28"/>
  <c r="D127" i="28"/>
  <c r="D128" i="28"/>
  <c r="D129" i="28"/>
  <c r="D130" i="28"/>
  <c r="D131" i="28"/>
  <c r="D132" i="28"/>
  <c r="D133" i="28"/>
  <c r="D134" i="28"/>
  <c r="D135" i="28"/>
  <c r="D136" i="28"/>
  <c r="D137" i="28"/>
  <c r="D138" i="28"/>
  <c r="D139" i="28"/>
  <c r="D140" i="28"/>
  <c r="D141" i="28"/>
  <c r="D142" i="28"/>
  <c r="D143" i="28"/>
  <c r="D144" i="28"/>
  <c r="D150" i="28"/>
  <c r="A6" i="12" s="1"/>
  <c r="D152" i="28"/>
  <c r="D153" i="28"/>
  <c r="D159" i="28"/>
  <c r="D160" i="28"/>
  <c r="D162" i="28"/>
  <c r="B14" i="12" s="1"/>
  <c r="B15" i="27" s="1"/>
  <c r="D164" i="28"/>
  <c r="B15" i="12" s="1"/>
  <c r="D165" i="28"/>
  <c r="B16" i="12" s="1"/>
  <c r="B17" i="27" s="1"/>
  <c r="D167" i="28"/>
  <c r="D168" i="28"/>
  <c r="D169" i="28"/>
  <c r="D170" i="28"/>
  <c r="B18" i="12" s="1"/>
  <c r="B19" i="27" s="1"/>
  <c r="D171" i="28"/>
  <c r="B19" i="12" s="1"/>
  <c r="D172" i="28"/>
  <c r="D173" i="28"/>
  <c r="D21" i="12" s="1"/>
  <c r="D174" i="28"/>
  <c r="D22" i="12" s="1"/>
  <c r="D175" i="28"/>
  <c r="G21" i="12" s="1"/>
  <c r="D182" i="28"/>
  <c r="B23" i="12" s="1"/>
  <c r="D183" i="28"/>
  <c r="D184" i="28"/>
  <c r="D187" i="28"/>
  <c r="D189" i="28"/>
  <c r="D190" i="28"/>
  <c r="B27" i="12" s="1"/>
  <c r="D195" i="28"/>
  <c r="B33" i="12" s="1"/>
  <c r="D197" i="28"/>
  <c r="B34" i="12" s="1"/>
  <c r="D198" i="28"/>
  <c r="B35" i="12" s="1"/>
  <c r="D199" i="28"/>
  <c r="D200" i="28"/>
  <c r="D202" i="28"/>
  <c r="D203" i="28"/>
  <c r="D204" i="28"/>
  <c r="J32" i="12" s="1"/>
  <c r="D205" i="28"/>
  <c r="B32" i="12" s="1"/>
  <c r="D206" i="28"/>
  <c r="B39" i="12" s="1"/>
  <c r="D207" i="28"/>
  <c r="B41" i="12" s="1"/>
  <c r="D208" i="28"/>
  <c r="B42" i="12" s="1"/>
  <c r="D209" i="28"/>
  <c r="B43" i="12" s="1"/>
  <c r="D210" i="28"/>
  <c r="B44" i="12" s="1"/>
  <c r="D211" i="28"/>
  <c r="B45" i="12" s="1"/>
  <c r="D212" i="28"/>
  <c r="B46" i="12" s="1"/>
  <c r="D214" i="28"/>
  <c r="D41" i="12" s="1"/>
  <c r="D215" i="28"/>
  <c r="G41" i="12" s="1"/>
  <c r="D216" i="28"/>
  <c r="J41" i="12" s="1"/>
  <c r="D217" i="28"/>
  <c r="B48" i="12" s="1"/>
  <c r="D218" i="28"/>
  <c r="D219" i="28"/>
  <c r="D220" i="28"/>
  <c r="D222" i="28"/>
  <c r="A56" i="12"/>
  <c r="D224" i="28"/>
  <c r="D225" i="28"/>
  <c r="D226" i="28"/>
  <c r="D227" i="28"/>
  <c r="D4" i="28"/>
  <c r="G34" i="33" l="1"/>
  <c r="F71" i="1"/>
  <c r="B12" i="12"/>
  <c r="B13" i="27" s="1"/>
  <c r="B13" i="12"/>
  <c r="B14" i="27" s="1"/>
  <c r="B36" i="12"/>
  <c r="B25" i="12"/>
  <c r="B24" i="12"/>
  <c r="B26" i="12"/>
  <c r="B21" i="12"/>
  <c r="B20" i="25"/>
  <c r="B11" i="12"/>
  <c r="B12" i="27" s="1"/>
  <c r="B12" i="25"/>
  <c r="B17" i="12"/>
  <c r="B18" i="27" s="1"/>
  <c r="B18" i="25"/>
  <c r="A8" i="12"/>
  <c r="A9" i="25"/>
  <c r="D8" i="12"/>
  <c r="D9" i="25"/>
  <c r="A55" i="12"/>
  <c r="A44" i="25"/>
  <c r="A57" i="12"/>
  <c r="A46" i="25"/>
  <c r="A58" i="12"/>
  <c r="A47" i="25"/>
  <c r="J22" i="12"/>
  <c r="J6" i="1"/>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3" i="5"/>
  <c r="F54" i="5"/>
  <c r="F55" i="5"/>
  <c r="F56" i="5"/>
  <c r="F57" i="5"/>
  <c r="F12" i="5"/>
  <c r="G4" i="15" l="1"/>
  <c r="D9" i="27"/>
  <c r="A4" i="15"/>
  <c r="A9" i="27"/>
  <c r="U50" i="1"/>
  <c r="F52" i="5" s="1"/>
  <c r="B64" i="14"/>
  <c r="U5" i="14" l="1"/>
  <c r="B31" i="14"/>
  <c r="AQ19" i="2" l="1"/>
  <c r="AP19" i="2"/>
  <c r="AO19" i="2"/>
  <c r="AN19" i="2"/>
  <c r="J53" i="27"/>
  <c r="J52" i="1"/>
  <c r="O3" i="1"/>
  <c r="B16" i="27" s="1"/>
  <c r="F14" i="1"/>
  <c r="J7" i="27"/>
  <c r="A72" i="27"/>
  <c r="I18" i="27"/>
  <c r="H9" i="27"/>
  <c r="F9" i="27"/>
  <c r="L7" i="27"/>
  <c r="Q3" i="27"/>
  <c r="Q22" i="27"/>
  <c r="Q23" i="27" s="1"/>
  <c r="Q24" i="27" s="1"/>
  <c r="Q25" i="27" s="1"/>
  <c r="Q26" i="27" s="1"/>
  <c r="Q27" i="27" s="1"/>
  <c r="Q28" i="27" s="1"/>
  <c r="Q29" i="27" s="1"/>
  <c r="Q30" i="27" s="1"/>
  <c r="Q31" i="27" s="1"/>
  <c r="Q32" i="27" s="1"/>
  <c r="Q33" i="27" s="1"/>
  <c r="Q34" i="27" s="1"/>
  <c r="Q35" i="27" s="1"/>
  <c r="Q36" i="27" s="1"/>
  <c r="Q37" i="27" s="1"/>
  <c r="Q38" i="27" s="1"/>
  <c r="Q39" i="27" s="1"/>
  <c r="Q40" i="27" s="1"/>
  <c r="Q41" i="27" s="1"/>
  <c r="Q42" i="27" s="1"/>
  <c r="Q43" i="27" s="1"/>
  <c r="Q44" i="27" s="1"/>
  <c r="Q45" i="27" s="1"/>
  <c r="Q46" i="27" s="1"/>
  <c r="Q47" i="27" s="1"/>
  <c r="Q48" i="27" s="1"/>
  <c r="Q49" i="27" s="1"/>
  <c r="Q50" i="27" s="1"/>
  <c r="Q51" i="27" s="1"/>
  <c r="Q52" i="27" s="1"/>
  <c r="Q53" i="27" s="1"/>
  <c r="Q54" i="27" s="1"/>
  <c r="Q55" i="27" s="1"/>
  <c r="Q56" i="27" s="1"/>
  <c r="Q57" i="27" s="1"/>
  <c r="Q58" i="27" s="1"/>
  <c r="Q59" i="27" s="1"/>
  <c r="Q60" i="27" s="1"/>
  <c r="P18" i="2"/>
  <c r="Q18" i="2"/>
  <c r="R18" i="2"/>
  <c r="S18" i="2"/>
  <c r="T18" i="2"/>
  <c r="U18" i="2"/>
  <c r="V18" i="2"/>
  <c r="W18" i="2"/>
  <c r="X18" i="2"/>
  <c r="Y18" i="2"/>
  <c r="Z18" i="2"/>
  <c r="AA18" i="2"/>
  <c r="AB18" i="2"/>
  <c r="P19" i="2"/>
  <c r="Q19" i="2"/>
  <c r="R19" i="2"/>
  <c r="S19" i="2"/>
  <c r="T19" i="2"/>
  <c r="U19" i="2"/>
  <c r="V19" i="2"/>
  <c r="W19" i="2"/>
  <c r="X19" i="2"/>
  <c r="Y19" i="2"/>
  <c r="Z19" i="2"/>
  <c r="AA19" i="2"/>
  <c r="AB19" i="2"/>
  <c r="P20" i="2"/>
  <c r="Q20" i="2"/>
  <c r="R20" i="2"/>
  <c r="S20" i="2"/>
  <c r="T20" i="2"/>
  <c r="U20" i="2"/>
  <c r="V20" i="2"/>
  <c r="W20" i="2"/>
  <c r="X20" i="2"/>
  <c r="Y20" i="2"/>
  <c r="Z20" i="2"/>
  <c r="AA20" i="2"/>
  <c r="AB20" i="2"/>
  <c r="P21" i="2"/>
  <c r="Q21" i="2"/>
  <c r="R21" i="2"/>
  <c r="S21" i="2"/>
  <c r="T21" i="2"/>
  <c r="U21" i="2"/>
  <c r="V21" i="2"/>
  <c r="W21" i="2"/>
  <c r="X21" i="2"/>
  <c r="Y21" i="2"/>
  <c r="Z21" i="2"/>
  <c r="AA21" i="2"/>
  <c r="AB21" i="2"/>
  <c r="P22" i="2"/>
  <c r="Q22" i="2"/>
  <c r="R22" i="2"/>
  <c r="S22" i="2"/>
  <c r="T22" i="2"/>
  <c r="U22" i="2"/>
  <c r="V22" i="2"/>
  <c r="W22" i="2"/>
  <c r="X22" i="2"/>
  <c r="Y22" i="2"/>
  <c r="Z22" i="2"/>
  <c r="AA22" i="2"/>
  <c r="AB22" i="2"/>
  <c r="P23" i="2"/>
  <c r="Q23" i="2"/>
  <c r="R23" i="2"/>
  <c r="S23" i="2"/>
  <c r="T23" i="2"/>
  <c r="U23" i="2"/>
  <c r="V23" i="2"/>
  <c r="W23" i="2"/>
  <c r="X23" i="2"/>
  <c r="Y23" i="2"/>
  <c r="Z23" i="2"/>
  <c r="AA23" i="2"/>
  <c r="AB23" i="2"/>
  <c r="O20" i="2"/>
  <c r="O21" i="2"/>
  <c r="O22" i="2"/>
  <c r="O23" i="2"/>
  <c r="O19" i="2"/>
  <c r="O18" i="2"/>
  <c r="J16" i="12"/>
  <c r="J17" i="27" s="1"/>
  <c r="J12" i="1"/>
  <c r="F15" i="1" s="1"/>
  <c r="K73" i="2"/>
  <c r="K74" i="2"/>
  <c r="L16" i="12"/>
  <c r="L15" i="12"/>
  <c r="J13" i="27"/>
  <c r="K4" i="15"/>
  <c r="I17" i="12"/>
  <c r="N1" i="1"/>
  <c r="B15" i="25"/>
  <c r="B17" i="25"/>
  <c r="B13" i="25"/>
  <c r="H18" i="25"/>
  <c r="H9" i="25"/>
  <c r="J7" i="25"/>
  <c r="I2" i="15"/>
  <c r="J6" i="12"/>
  <c r="L4" i="5"/>
  <c r="P4" i="5" s="1"/>
  <c r="J10" i="1"/>
  <c r="C25" i="5" s="1"/>
  <c r="J9" i="1"/>
  <c r="I14" i="5" s="1"/>
  <c r="B44" i="14"/>
  <c r="B40" i="14"/>
  <c r="U2" i="14" s="1"/>
  <c r="B9" i="14"/>
  <c r="N13" i="15" s="1"/>
  <c r="B20" i="14"/>
  <c r="A23" i="15" s="1"/>
  <c r="B2" i="14"/>
  <c r="A11" i="15" s="1"/>
  <c r="C31" i="14"/>
  <c r="B58" i="14"/>
  <c r="U10" i="14" s="1"/>
  <c r="C15" i="23"/>
  <c r="J88" i="1"/>
  <c r="D9" i="12"/>
  <c r="C101" i="24"/>
  <c r="C144" i="21"/>
  <c r="Q21" i="1"/>
  <c r="V14" i="14"/>
  <c r="U16" i="14"/>
  <c r="V15" i="14" s="1"/>
  <c r="T8" i="14"/>
  <c r="T30" i="14" s="1"/>
  <c r="Y15" i="23" s="1"/>
  <c r="U15" i="14"/>
  <c r="P15" i="23" s="1"/>
  <c r="U20" i="14"/>
  <c r="U21" i="14"/>
  <c r="I10" i="27" s="1"/>
  <c r="J13" i="1"/>
  <c r="J15" i="1"/>
  <c r="J73" i="2" s="1"/>
  <c r="J74" i="2" s="1"/>
  <c r="A1" i="24"/>
  <c r="U15" i="23"/>
  <c r="V15" i="23"/>
  <c r="P46" i="15"/>
  <c r="A51" i="15" s="1"/>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B50" i="15"/>
  <c r="B68" i="14"/>
  <c r="B51" i="15"/>
  <c r="B26" i="2"/>
  <c r="J19" i="2" s="1"/>
  <c r="J47" i="1"/>
  <c r="P13" i="15"/>
  <c r="A13" i="15" s="1"/>
  <c r="B88" i="2"/>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F52" i="1"/>
  <c r="B74" i="2"/>
  <c r="B75" i="2" s="1"/>
  <c r="B76" i="2" s="1"/>
  <c r="P14" i="2"/>
  <c r="J3" i="21"/>
  <c r="A1" i="21" s="1"/>
  <c r="A59" i="24"/>
  <c r="A27" i="21"/>
  <c r="F60" i="21"/>
  <c r="G62" i="21"/>
  <c r="E4" i="5"/>
  <c r="F7" i="5" s="1"/>
  <c r="U4" i="5"/>
  <c r="V4" i="5" s="1"/>
  <c r="K6" i="1"/>
  <c r="A61" i="7" s="1"/>
  <c r="A60" i="7"/>
  <c r="O65" i="1"/>
  <c r="L14" i="12"/>
  <c r="M15" i="23"/>
  <c r="L15" i="23"/>
  <c r="K15" i="23"/>
  <c r="F15" i="23"/>
  <c r="H15" i="23"/>
  <c r="I15" i="23"/>
  <c r="G15" i="23"/>
  <c r="E15" i="23"/>
  <c r="D15" i="23"/>
  <c r="B15" i="23"/>
  <c r="F32" i="21"/>
  <c r="I35" i="21"/>
  <c r="I32" i="21"/>
  <c r="A32" i="21"/>
  <c r="L55" i="12"/>
  <c r="J51" i="12" s="1"/>
  <c r="M49" i="12"/>
  <c r="L7" i="12"/>
  <c r="L8" i="12" s="1"/>
  <c r="A59" i="7"/>
  <c r="C59" i="7" s="1"/>
  <c r="E53" i="5"/>
  <c r="E54" i="5"/>
  <c r="E55" i="5"/>
  <c r="E56" i="5"/>
  <c r="E57" i="5"/>
  <c r="G45" i="1"/>
  <c r="J46" i="1"/>
  <c r="F47" i="1" s="1"/>
  <c r="J16" i="25"/>
  <c r="A61" i="15"/>
  <c r="B14" i="25"/>
  <c r="J31" i="1"/>
  <c r="A27" i="18"/>
  <c r="J49" i="1"/>
  <c r="O77" i="1"/>
  <c r="O76" i="1"/>
  <c r="O75" i="1"/>
  <c r="O74" i="1"/>
  <c r="O73" i="1"/>
  <c r="O72" i="1"/>
  <c r="O71" i="1"/>
  <c r="O70" i="1"/>
  <c r="O69" i="1"/>
  <c r="O68" i="1"/>
  <c r="O67" i="1"/>
  <c r="O66" i="1"/>
  <c r="E78" i="1"/>
  <c r="F72" i="1"/>
  <c r="A23" i="1"/>
  <c r="S67" i="7"/>
  <c r="V68" i="7"/>
  <c r="Y69" i="7"/>
  <c r="AB70" i="7"/>
  <c r="AB71" i="7"/>
  <c r="AB72" i="7"/>
  <c r="AB73" i="7"/>
  <c r="AB74" i="7"/>
  <c r="AB75" i="7"/>
  <c r="AB76" i="7"/>
  <c r="AB77" i="7"/>
  <c r="AB90" i="7"/>
  <c r="AB89" i="7"/>
  <c r="AB88" i="7"/>
  <c r="AB87" i="7"/>
  <c r="AB86" i="7"/>
  <c r="AB85" i="7"/>
  <c r="AB84" i="7"/>
  <c r="AB83" i="7"/>
  <c r="AB82" i="7"/>
  <c r="AB81" i="7"/>
  <c r="AB80" i="7"/>
  <c r="AB79" i="7"/>
  <c r="AB78" i="7"/>
  <c r="AB69" i="7"/>
  <c r="AB68" i="7"/>
  <c r="AB67" i="7"/>
  <c r="AB66" i="7"/>
  <c r="AB65" i="7"/>
  <c r="AA90" i="7"/>
  <c r="AA89" i="7"/>
  <c r="AA88" i="7"/>
  <c r="AA87" i="7"/>
  <c r="AA86" i="7"/>
  <c r="AA85" i="7"/>
  <c r="AA84" i="7"/>
  <c r="AA83" i="7"/>
  <c r="AA82" i="7"/>
  <c r="AA81" i="7"/>
  <c r="AA80" i="7"/>
  <c r="AA79" i="7"/>
  <c r="AA78" i="7"/>
  <c r="AA77" i="7"/>
  <c r="AA76" i="7"/>
  <c r="AA75" i="7"/>
  <c r="AA74" i="7"/>
  <c r="AA73" i="7"/>
  <c r="AA72" i="7"/>
  <c r="AA71" i="7"/>
  <c r="AA70" i="7"/>
  <c r="AA69" i="7"/>
  <c r="AA68" i="7"/>
  <c r="AA67" i="7"/>
  <c r="AA66" i="7"/>
  <c r="AA65" i="7"/>
  <c r="Y90" i="7"/>
  <c r="Y89" i="7"/>
  <c r="Y88" i="7"/>
  <c r="Y87" i="7"/>
  <c r="Y86" i="7"/>
  <c r="Y85" i="7"/>
  <c r="Y84" i="7"/>
  <c r="Y83" i="7"/>
  <c r="Y82" i="7"/>
  <c r="Y81" i="7"/>
  <c r="Y80" i="7"/>
  <c r="Y79" i="7"/>
  <c r="Y78" i="7"/>
  <c r="Y77" i="7"/>
  <c r="Y76" i="7"/>
  <c r="Y75" i="7"/>
  <c r="Y74" i="7"/>
  <c r="Y73" i="7"/>
  <c r="Y72" i="7"/>
  <c r="Y71" i="7"/>
  <c r="Y70" i="7"/>
  <c r="Y68" i="7"/>
  <c r="Y67" i="7"/>
  <c r="Y66" i="7"/>
  <c r="Y65" i="7"/>
  <c r="X90" i="7"/>
  <c r="X89" i="7"/>
  <c r="X88" i="7"/>
  <c r="X87" i="7"/>
  <c r="X86" i="7"/>
  <c r="X85" i="7"/>
  <c r="X84" i="7"/>
  <c r="X83" i="7"/>
  <c r="X82" i="7"/>
  <c r="X81" i="7"/>
  <c r="X80" i="7"/>
  <c r="X79" i="7"/>
  <c r="X78" i="7"/>
  <c r="X77" i="7"/>
  <c r="X76" i="7"/>
  <c r="X75" i="7"/>
  <c r="X74" i="7"/>
  <c r="X73" i="7"/>
  <c r="X72" i="7"/>
  <c r="X71" i="7"/>
  <c r="X70" i="7"/>
  <c r="X69" i="7"/>
  <c r="X68" i="7"/>
  <c r="X67" i="7"/>
  <c r="X66" i="7"/>
  <c r="X65" i="7"/>
  <c r="V90" i="7"/>
  <c r="V89" i="7"/>
  <c r="V88" i="7"/>
  <c r="V87" i="7"/>
  <c r="V86" i="7"/>
  <c r="V85" i="7"/>
  <c r="V84" i="7"/>
  <c r="V83" i="7"/>
  <c r="V82" i="7"/>
  <c r="V81" i="7"/>
  <c r="V80" i="7"/>
  <c r="V79" i="7"/>
  <c r="V78" i="7"/>
  <c r="V77" i="7"/>
  <c r="V76" i="7"/>
  <c r="V75" i="7"/>
  <c r="V74" i="7"/>
  <c r="V73" i="7"/>
  <c r="V72" i="7"/>
  <c r="V71" i="7"/>
  <c r="V70" i="7"/>
  <c r="V69" i="7"/>
  <c r="V67" i="7"/>
  <c r="V66" i="7"/>
  <c r="V65" i="7"/>
  <c r="U90" i="7"/>
  <c r="U89" i="7"/>
  <c r="U88" i="7"/>
  <c r="U87" i="7"/>
  <c r="U86" i="7"/>
  <c r="U85" i="7"/>
  <c r="U84" i="7"/>
  <c r="U83" i="7"/>
  <c r="U82" i="7"/>
  <c r="U81" i="7"/>
  <c r="U80" i="7"/>
  <c r="U79" i="7"/>
  <c r="U78" i="7"/>
  <c r="U77" i="7"/>
  <c r="U76" i="7"/>
  <c r="U75" i="7"/>
  <c r="U74" i="7"/>
  <c r="U73" i="7"/>
  <c r="U72" i="7"/>
  <c r="U71" i="7"/>
  <c r="U70" i="7"/>
  <c r="U69" i="7"/>
  <c r="U68" i="7"/>
  <c r="U67" i="7"/>
  <c r="U66" i="7"/>
  <c r="U65" i="7"/>
  <c r="S90" i="7"/>
  <c r="S89" i="7"/>
  <c r="S88" i="7"/>
  <c r="S87" i="7"/>
  <c r="S86" i="7"/>
  <c r="S85" i="7"/>
  <c r="S84" i="7"/>
  <c r="S83" i="7"/>
  <c r="S82" i="7"/>
  <c r="S81" i="7"/>
  <c r="S80" i="7"/>
  <c r="S79" i="7"/>
  <c r="S78" i="7"/>
  <c r="S77" i="7"/>
  <c r="S76" i="7"/>
  <c r="S75" i="7"/>
  <c r="S74" i="7"/>
  <c r="S73" i="7"/>
  <c r="S72" i="7"/>
  <c r="S71" i="7"/>
  <c r="S70" i="7"/>
  <c r="S69" i="7"/>
  <c r="S68" i="7"/>
  <c r="S66" i="7"/>
  <c r="S65" i="7"/>
  <c r="R90" i="7"/>
  <c r="R89" i="7"/>
  <c r="R88" i="7"/>
  <c r="R87" i="7"/>
  <c r="R86" i="7"/>
  <c r="R85" i="7"/>
  <c r="R84" i="7"/>
  <c r="R83" i="7"/>
  <c r="R82" i="7"/>
  <c r="R81" i="7"/>
  <c r="R80" i="7"/>
  <c r="R79" i="7"/>
  <c r="R78" i="7"/>
  <c r="R77" i="7"/>
  <c r="R76" i="7"/>
  <c r="R75" i="7"/>
  <c r="R74" i="7"/>
  <c r="R73" i="7"/>
  <c r="R72" i="7"/>
  <c r="R71" i="7"/>
  <c r="R70" i="7"/>
  <c r="R69" i="7"/>
  <c r="R68" i="7"/>
  <c r="R67" i="7"/>
  <c r="R66" i="7"/>
  <c r="R65" i="7"/>
  <c r="Z90" i="7"/>
  <c r="Z89" i="7"/>
  <c r="Z88" i="7"/>
  <c r="Z87" i="7"/>
  <c r="Z86" i="7"/>
  <c r="Z85" i="7"/>
  <c r="Z84" i="7"/>
  <c r="Z83" i="7"/>
  <c r="Z82" i="7"/>
  <c r="Z81" i="7"/>
  <c r="Z80" i="7"/>
  <c r="Z79" i="7"/>
  <c r="Z78" i="7"/>
  <c r="Z66" i="7"/>
  <c r="Z67" i="7"/>
  <c r="Z68" i="7"/>
  <c r="Z69" i="7"/>
  <c r="Z70" i="7"/>
  <c r="Z71" i="7"/>
  <c r="Z72" i="7"/>
  <c r="Z73" i="7"/>
  <c r="Z74" i="7"/>
  <c r="Z75" i="7"/>
  <c r="Z76" i="7"/>
  <c r="Z77" i="7"/>
  <c r="Z65" i="7"/>
  <c r="W90" i="7"/>
  <c r="W89" i="7"/>
  <c r="W88" i="7"/>
  <c r="W87" i="7"/>
  <c r="W86" i="7"/>
  <c r="W85" i="7"/>
  <c r="W84" i="7"/>
  <c r="W83" i="7"/>
  <c r="W82" i="7"/>
  <c r="W81" i="7"/>
  <c r="W80" i="7"/>
  <c r="W79" i="7"/>
  <c r="W78" i="7"/>
  <c r="W66" i="7"/>
  <c r="W67" i="7"/>
  <c r="W68" i="7"/>
  <c r="W69" i="7"/>
  <c r="W70" i="7"/>
  <c r="W71" i="7"/>
  <c r="W72" i="7"/>
  <c r="W73" i="7"/>
  <c r="W74" i="7"/>
  <c r="W75" i="7"/>
  <c r="W76" i="7"/>
  <c r="W77" i="7"/>
  <c r="W65" i="7"/>
  <c r="T90" i="7"/>
  <c r="T89" i="7"/>
  <c r="T88" i="7"/>
  <c r="T87" i="7"/>
  <c r="T86" i="7"/>
  <c r="T85" i="7"/>
  <c r="T84" i="7"/>
  <c r="T83" i="7"/>
  <c r="T82" i="7"/>
  <c r="T81" i="7"/>
  <c r="T80" i="7"/>
  <c r="T79" i="7"/>
  <c r="T78" i="7"/>
  <c r="T66" i="7"/>
  <c r="T67" i="7"/>
  <c r="T68" i="7"/>
  <c r="T69" i="7"/>
  <c r="T70" i="7"/>
  <c r="T71" i="7"/>
  <c r="T72" i="7"/>
  <c r="T73" i="7"/>
  <c r="T74" i="7"/>
  <c r="T75" i="7"/>
  <c r="T76" i="7"/>
  <c r="T77" i="7"/>
  <c r="T65" i="7"/>
  <c r="Q90" i="7"/>
  <c r="Q89" i="7"/>
  <c r="Q88" i="7"/>
  <c r="Q87" i="7"/>
  <c r="Q86" i="7"/>
  <c r="Q85" i="7"/>
  <c r="Q84" i="7"/>
  <c r="Q83" i="7"/>
  <c r="Q82" i="7"/>
  <c r="Q81" i="7"/>
  <c r="Q80" i="7"/>
  <c r="Q79" i="7"/>
  <c r="Q78" i="7"/>
  <c r="Q66" i="7"/>
  <c r="Q67" i="7"/>
  <c r="Q68" i="7"/>
  <c r="Q69" i="7"/>
  <c r="Q70" i="7"/>
  <c r="Q71" i="7"/>
  <c r="Q72" i="7"/>
  <c r="Q73" i="7"/>
  <c r="Q74" i="7"/>
  <c r="Q75" i="7"/>
  <c r="Q76" i="7"/>
  <c r="Q77" i="7"/>
  <c r="Q65" i="7"/>
  <c r="C78" i="7"/>
  <c r="C79" i="7"/>
  <c r="C80" i="7"/>
  <c r="C81" i="7"/>
  <c r="C82" i="7"/>
  <c r="C83" i="7"/>
  <c r="C84" i="7"/>
  <c r="C85" i="7"/>
  <c r="C86" i="7"/>
  <c r="C87" i="7"/>
  <c r="C88" i="7"/>
  <c r="C89" i="7"/>
  <c r="C90" i="7"/>
  <c r="C66" i="7"/>
  <c r="C67" i="7"/>
  <c r="C68" i="7"/>
  <c r="C69" i="7"/>
  <c r="C70" i="7"/>
  <c r="C71" i="7"/>
  <c r="C72" i="7"/>
  <c r="C73" i="7"/>
  <c r="C74" i="7"/>
  <c r="C75" i="7"/>
  <c r="C76" i="7"/>
  <c r="C77" i="7"/>
  <c r="C65" i="7"/>
  <c r="R10" i="1"/>
  <c r="J3" i="1"/>
  <c r="M4" i="5"/>
  <c r="Q4" i="5" s="1"/>
  <c r="J7" i="1"/>
  <c r="J8" i="1"/>
  <c r="L11" i="4"/>
  <c r="M11" i="4"/>
  <c r="Q22" i="1"/>
  <c r="Q15" i="1"/>
  <c r="F19" i="2"/>
  <c r="K32" i="1"/>
  <c r="J14" i="12" l="1"/>
  <c r="J15" i="27" s="1"/>
  <c r="I19" i="5"/>
  <c r="I40" i="5"/>
  <c r="I16" i="5"/>
  <c r="I26" i="5"/>
  <c r="I12" i="5"/>
  <c r="I18" i="5"/>
  <c r="I45" i="5"/>
  <c r="I20" i="5"/>
  <c r="I48" i="5"/>
  <c r="I29" i="5"/>
  <c r="I25" i="5"/>
  <c r="I9" i="5"/>
  <c r="I31" i="5"/>
  <c r="I54" i="5"/>
  <c r="I46" i="5"/>
  <c r="I22" i="5"/>
  <c r="I50" i="5"/>
  <c r="Q3" i="5"/>
  <c r="I5" i="5"/>
  <c r="I24" i="5"/>
  <c r="I13" i="5"/>
  <c r="I17" i="5"/>
  <c r="I57" i="5"/>
  <c r="I49" i="5"/>
  <c r="I6" i="5"/>
  <c r="I51" i="5"/>
  <c r="A10" i="15"/>
  <c r="M19" i="2"/>
  <c r="E18" i="2"/>
  <c r="K18" i="2"/>
  <c r="C19" i="2"/>
  <c r="I18" i="2"/>
  <c r="D19" i="2"/>
  <c r="F18" i="2"/>
  <c r="G18" i="2"/>
  <c r="K19" i="2"/>
  <c r="I19" i="2"/>
  <c r="C18" i="2"/>
  <c r="E19" i="2"/>
  <c r="L19" i="2"/>
  <c r="H18" i="2"/>
  <c r="J18" i="2"/>
  <c r="L18" i="2"/>
  <c r="G19" i="2"/>
  <c r="M18" i="2"/>
  <c r="D18" i="2"/>
  <c r="H19" i="2"/>
  <c r="Q12" i="2"/>
  <c r="Q50" i="15"/>
  <c r="Q51" i="15"/>
  <c r="C98" i="32"/>
  <c r="C99" i="31"/>
  <c r="C135" i="30"/>
  <c r="C138" i="29"/>
  <c r="A60" i="12"/>
  <c r="A53" i="27" s="1"/>
  <c r="P67" i="1"/>
  <c r="B59" i="1" s="1"/>
  <c r="C137" i="30"/>
  <c r="A100" i="32"/>
  <c r="C101" i="31"/>
  <c r="C140" i="29"/>
  <c r="A137" i="30"/>
  <c r="C100" i="32"/>
  <c r="A101" i="31"/>
  <c r="A140" i="29"/>
  <c r="C23" i="5"/>
  <c r="T23" i="5" s="1"/>
  <c r="C56" i="5"/>
  <c r="T56" i="5" s="1"/>
  <c r="C29" i="5"/>
  <c r="T29" i="5" s="1"/>
  <c r="P66" i="1"/>
  <c r="B58" i="1" s="1"/>
  <c r="P75" i="1"/>
  <c r="B67" i="1" s="1"/>
  <c r="C17" i="5"/>
  <c r="T17" i="5" s="1"/>
  <c r="C35" i="5"/>
  <c r="H35" i="5" s="1"/>
  <c r="J35" i="5" s="1"/>
  <c r="P72" i="1"/>
  <c r="C16" i="5"/>
  <c r="H16" i="5" s="1"/>
  <c r="J16" i="5" s="1"/>
  <c r="P70" i="1"/>
  <c r="B62" i="1" s="1"/>
  <c r="C36" i="5"/>
  <c r="T36" i="5" s="1"/>
  <c r="C10" i="5"/>
  <c r="T10" i="5" s="1"/>
  <c r="P71" i="1"/>
  <c r="B63" i="1" s="1"/>
  <c r="C24" i="5"/>
  <c r="H24" i="5" s="1"/>
  <c r="J24" i="5" s="1"/>
  <c r="C18" i="5"/>
  <c r="C54" i="5"/>
  <c r="T54" i="5" s="1"/>
  <c r="W57" i="5"/>
  <c r="C52" i="5"/>
  <c r="H52" i="5" s="1"/>
  <c r="J52" i="5" s="1"/>
  <c r="C15" i="5"/>
  <c r="H15" i="5" s="1"/>
  <c r="J15" i="5" s="1"/>
  <c r="C7" i="5"/>
  <c r="G7" i="5" s="1"/>
  <c r="C47" i="5"/>
  <c r="H47" i="5" s="1"/>
  <c r="J47" i="5" s="1"/>
  <c r="C48" i="5"/>
  <c r="T48" i="5" s="1"/>
  <c r="C27" i="5"/>
  <c r="H27" i="5" s="1"/>
  <c r="J27" i="5" s="1"/>
  <c r="C46" i="5"/>
  <c r="H46" i="5" s="1"/>
  <c r="J46" i="5" s="1"/>
  <c r="C57" i="5"/>
  <c r="T57" i="5" s="1"/>
  <c r="P73" i="1"/>
  <c r="B65" i="1" s="1"/>
  <c r="C5" i="5"/>
  <c r="H5" i="5" s="1"/>
  <c r="J5" i="5" s="1"/>
  <c r="C34" i="5"/>
  <c r="T34" i="5" s="1"/>
  <c r="C30" i="5"/>
  <c r="C31" i="5"/>
  <c r="W52" i="5"/>
  <c r="C22" i="5"/>
  <c r="T22" i="5" s="1"/>
  <c r="P76" i="1"/>
  <c r="B68" i="1" s="1"/>
  <c r="P77" i="1"/>
  <c r="B69" i="1" s="1"/>
  <c r="C28" i="5"/>
  <c r="T28" i="5" s="1"/>
  <c r="C41" i="5"/>
  <c r="T41" i="5" s="1"/>
  <c r="C14" i="5"/>
  <c r="H14" i="5" s="1"/>
  <c r="J14" i="5" s="1"/>
  <c r="C13" i="5"/>
  <c r="W56" i="5"/>
  <c r="C44" i="5"/>
  <c r="T44" i="5" s="1"/>
  <c r="C51" i="5"/>
  <c r="H51" i="5" s="1"/>
  <c r="J51" i="5" s="1"/>
  <c r="C40" i="5"/>
  <c r="T40" i="5" s="1"/>
  <c r="C43" i="5"/>
  <c r="T43" i="5" s="1"/>
  <c r="C33" i="5"/>
  <c r="H33" i="5" s="1"/>
  <c r="J33" i="5" s="1"/>
  <c r="C50" i="5"/>
  <c r="H50" i="5" s="1"/>
  <c r="J50" i="5" s="1"/>
  <c r="C37" i="5"/>
  <c r="T37" i="5" s="1"/>
  <c r="C21" i="5"/>
  <c r="H21" i="5" s="1"/>
  <c r="J21" i="5" s="1"/>
  <c r="P74" i="1"/>
  <c r="B66" i="1" s="1"/>
  <c r="P68" i="1"/>
  <c r="B60" i="1" s="1"/>
  <c r="C9" i="5"/>
  <c r="H9" i="5" s="1"/>
  <c r="J9" i="5" s="1"/>
  <c r="C45" i="5"/>
  <c r="H45" i="5" s="1"/>
  <c r="J45" i="5" s="1"/>
  <c r="C42" i="5"/>
  <c r="H42" i="5" s="1"/>
  <c r="J42" i="5" s="1"/>
  <c r="C12" i="5"/>
  <c r="W53" i="5"/>
  <c r="C53" i="5"/>
  <c r="H53" i="5" s="1"/>
  <c r="J53" i="5" s="1"/>
  <c r="W51" i="5"/>
  <c r="C32" i="5"/>
  <c r="T32" i="5" s="1"/>
  <c r="C38" i="5"/>
  <c r="H38" i="5" s="1"/>
  <c r="J38" i="5" s="1"/>
  <c r="C49" i="5"/>
  <c r="T49" i="5" s="1"/>
  <c r="C39" i="5"/>
  <c r="C8" i="5"/>
  <c r="P65" i="1"/>
  <c r="B57" i="1" s="1"/>
  <c r="C11" i="5"/>
  <c r="T11" i="5" s="1"/>
  <c r="W55" i="5"/>
  <c r="C55" i="5"/>
  <c r="H55" i="5" s="1"/>
  <c r="J55" i="5" s="1"/>
  <c r="C6" i="5"/>
  <c r="H6" i="5" s="1"/>
  <c r="J6" i="5" s="1"/>
  <c r="P69" i="1"/>
  <c r="B61" i="1" s="1"/>
  <c r="C19" i="5"/>
  <c r="H19" i="5" s="1"/>
  <c r="J19" i="5" s="1"/>
  <c r="C26" i="5"/>
  <c r="H26" i="5" s="1"/>
  <c r="J26" i="5" s="1"/>
  <c r="W54" i="5"/>
  <c r="C20" i="5"/>
  <c r="B52" i="1"/>
  <c r="B51" i="1"/>
  <c r="V4" i="2"/>
  <c r="J19" i="1" s="1"/>
  <c r="K2" i="1"/>
  <c r="B50" i="12"/>
  <c r="B51" i="12"/>
  <c r="Q17" i="1"/>
  <c r="B16" i="25"/>
  <c r="A62" i="7"/>
  <c r="B63" i="7" s="1"/>
  <c r="M3" i="5"/>
  <c r="I32" i="5"/>
  <c r="I53" i="5"/>
  <c r="I55" i="5"/>
  <c r="I37" i="5"/>
  <c r="I35" i="5"/>
  <c r="I10" i="5"/>
  <c r="I30" i="5"/>
  <c r="I7" i="5"/>
  <c r="I8" i="5"/>
  <c r="I52" i="5"/>
  <c r="I23" i="5"/>
  <c r="I38" i="5"/>
  <c r="I27" i="5"/>
  <c r="I21" i="5"/>
  <c r="I11" i="5"/>
  <c r="I39" i="5"/>
  <c r="I56" i="5"/>
  <c r="V3" i="5"/>
  <c r="I33" i="5"/>
  <c r="I47" i="5"/>
  <c r="I41" i="5"/>
  <c r="I34" i="5"/>
  <c r="I36" i="5"/>
  <c r="I28" i="5"/>
  <c r="I15" i="5"/>
  <c r="I44" i="5"/>
  <c r="I43" i="5"/>
  <c r="I42" i="5"/>
  <c r="H10" i="25"/>
  <c r="H9" i="12"/>
  <c r="A105" i="24" s="1"/>
  <c r="I8" i="12"/>
  <c r="I9" i="12"/>
  <c r="C99" i="32"/>
  <c r="C136" i="30"/>
  <c r="A99" i="32"/>
  <c r="C100" i="31"/>
  <c r="A136" i="30"/>
  <c r="A100" i="31"/>
  <c r="A139" i="29"/>
  <c r="C139" i="29"/>
  <c r="A9" i="15"/>
  <c r="N34" i="15"/>
  <c r="I34" i="15"/>
  <c r="G34" i="15"/>
  <c r="A34" i="15"/>
  <c r="A36" i="15"/>
  <c r="I36" i="15" s="1"/>
  <c r="A19" i="15"/>
  <c r="A50" i="25"/>
  <c r="I9" i="25"/>
  <c r="Q15" i="23"/>
  <c r="J50" i="12"/>
  <c r="A15" i="23"/>
  <c r="J17" i="25"/>
  <c r="C20" i="14"/>
  <c r="B56" i="15"/>
  <c r="Q56" i="15" s="1"/>
  <c r="B52" i="15"/>
  <c r="Q52" i="15" s="1"/>
  <c r="B55" i="15"/>
  <c r="Q55" i="15" s="1"/>
  <c r="B53" i="15"/>
  <c r="B54" i="15"/>
  <c r="Q54" i="15" s="1"/>
  <c r="H10" i="27"/>
  <c r="L17" i="12"/>
  <c r="N15" i="12" s="1"/>
  <c r="J5" i="1"/>
  <c r="I9" i="27"/>
  <c r="U4" i="14"/>
  <c r="E53" i="1"/>
  <c r="E54" i="1" s="1"/>
  <c r="J14" i="25"/>
  <c r="H29" i="1"/>
  <c r="Q18" i="1"/>
  <c r="Q19" i="1"/>
  <c r="J16" i="27"/>
  <c r="U18" i="14"/>
  <c r="C73" i="2"/>
  <c r="D73" i="2" s="1"/>
  <c r="R15" i="23"/>
  <c r="V17" i="14"/>
  <c r="E9" i="12" s="1"/>
  <c r="N7" i="15"/>
  <c r="N3" i="15"/>
  <c r="J13" i="25"/>
  <c r="C9" i="14"/>
  <c r="F5" i="5"/>
  <c r="E5" i="5"/>
  <c r="E6" i="5"/>
  <c r="F8" i="5"/>
  <c r="F9" i="5"/>
  <c r="F11" i="5"/>
  <c r="E11" i="5"/>
  <c r="E10" i="5"/>
  <c r="E8" i="5"/>
  <c r="E7" i="5"/>
  <c r="F6" i="5"/>
  <c r="F10" i="5"/>
  <c r="E9" i="5"/>
  <c r="J52" i="25"/>
  <c r="A18" i="23"/>
  <c r="J61" i="12"/>
  <c r="N61" i="15" s="1"/>
  <c r="N21" i="15"/>
  <c r="U8" i="14"/>
  <c r="V3" i="14" s="1"/>
  <c r="C2" i="14"/>
  <c r="U6" i="14"/>
  <c r="V2" i="14" s="1"/>
  <c r="T25" i="5"/>
  <c r="H25" i="5"/>
  <c r="J25" i="5" s="1"/>
  <c r="M49" i="15"/>
  <c r="N49" i="12"/>
  <c r="O49" i="12" s="1"/>
  <c r="G44" i="12" s="1"/>
  <c r="P49" i="12"/>
  <c r="Q49" i="12" s="1"/>
  <c r="J44" i="12" s="1"/>
  <c r="G5" i="15"/>
  <c r="N15" i="23"/>
  <c r="D10" i="25"/>
  <c r="D10" i="27" s="1"/>
  <c r="T29" i="14"/>
  <c r="T7" i="14"/>
  <c r="G12" i="5" l="1"/>
  <c r="U61" i="5"/>
  <c r="C28" i="14"/>
  <c r="B25" i="14" s="1"/>
  <c r="G32" i="15" s="1"/>
  <c r="F11" i="1"/>
  <c r="D9" i="36" s="1"/>
  <c r="A12" i="36" s="1"/>
  <c r="C74" i="2"/>
  <c r="D74" i="2" s="1"/>
  <c r="G10" i="5"/>
  <c r="T24" i="5"/>
  <c r="T6" i="5"/>
  <c r="H29" i="5"/>
  <c r="J29" i="5" s="1"/>
  <c r="H56" i="5"/>
  <c r="J56" i="5" s="1"/>
  <c r="H23" i="5"/>
  <c r="J23" i="5" s="1"/>
  <c r="H40" i="5"/>
  <c r="J40" i="5" s="1"/>
  <c r="T19" i="5"/>
  <c r="G9" i="5"/>
  <c r="T27" i="5"/>
  <c r="A60" i="15"/>
  <c r="L5" i="12"/>
  <c r="M5" i="12" s="1"/>
  <c r="L9" i="12" s="1"/>
  <c r="A7" i="12" s="1"/>
  <c r="A8" i="25" s="1"/>
  <c r="J15" i="25"/>
  <c r="H36" i="5"/>
  <c r="J36" i="5" s="1"/>
  <c r="T52" i="5"/>
  <c r="H44" i="5"/>
  <c r="J44" i="5" s="1"/>
  <c r="J70" i="1"/>
  <c r="H57" i="5"/>
  <c r="J57" i="5" s="1"/>
  <c r="T26" i="5"/>
  <c r="T35" i="5"/>
  <c r="Q20" i="27"/>
  <c r="C75" i="2"/>
  <c r="G8" i="5"/>
  <c r="G13" i="5"/>
  <c r="T53" i="5"/>
  <c r="I10" i="25"/>
  <c r="A149" i="21"/>
  <c r="A106" i="24"/>
  <c r="C149" i="21"/>
  <c r="C106" i="24"/>
  <c r="H49" i="5"/>
  <c r="J49" i="5" s="1"/>
  <c r="H18" i="5"/>
  <c r="J18" i="5" s="1"/>
  <c r="H10" i="5"/>
  <c r="J10" i="5" s="1"/>
  <c r="H48" i="5"/>
  <c r="J48" i="5" s="1"/>
  <c r="T18" i="5"/>
  <c r="T50" i="5"/>
  <c r="T51" i="5"/>
  <c r="T14" i="5"/>
  <c r="H37" i="5"/>
  <c r="J37" i="5" s="1"/>
  <c r="T15" i="5"/>
  <c r="H54" i="5"/>
  <c r="J54" i="5" s="1"/>
  <c r="T16" i="5"/>
  <c r="T9" i="5"/>
  <c r="H28" i="5"/>
  <c r="J28" i="5" s="1"/>
  <c r="T45" i="5"/>
  <c r="H7" i="5"/>
  <c r="J7" i="5" s="1"/>
  <c r="H17" i="5"/>
  <c r="J17" i="5" s="1"/>
  <c r="T55" i="5"/>
  <c r="H22" i="5"/>
  <c r="J22" i="5" s="1"/>
  <c r="H32" i="5"/>
  <c r="J32" i="5" s="1"/>
  <c r="T46" i="5"/>
  <c r="H43" i="5"/>
  <c r="J43" i="5" s="1"/>
  <c r="H41" i="5"/>
  <c r="J41" i="5" s="1"/>
  <c r="T8" i="5"/>
  <c r="T7" i="5"/>
  <c r="H8" i="5"/>
  <c r="J8" i="5" s="1"/>
  <c r="T21" i="5"/>
  <c r="H34" i="5"/>
  <c r="J34" i="5" s="1"/>
  <c r="T42" i="5"/>
  <c r="H30" i="5"/>
  <c r="J30" i="5" s="1"/>
  <c r="T30" i="5"/>
  <c r="T47" i="5"/>
  <c r="T33" i="5"/>
  <c r="H39" i="5"/>
  <c r="J39" i="5" s="1"/>
  <c r="T39" i="5"/>
  <c r="T13" i="5"/>
  <c r="H13" i="5"/>
  <c r="J13" i="5" s="1"/>
  <c r="G5" i="5"/>
  <c r="T5" i="5"/>
  <c r="T38" i="5"/>
  <c r="G6" i="5"/>
  <c r="H20" i="5"/>
  <c r="J20" i="5" s="1"/>
  <c r="T20" i="5"/>
  <c r="G11" i="5"/>
  <c r="H11" i="5"/>
  <c r="J11" i="5" s="1"/>
  <c r="T12" i="5"/>
  <c r="H12" i="5"/>
  <c r="J12" i="5" s="1"/>
  <c r="T31" i="5"/>
  <c r="H31" i="5"/>
  <c r="J31" i="5" s="1"/>
  <c r="Q4" i="2"/>
  <c r="Q8" i="2"/>
  <c r="G5" i="2" s="1"/>
  <c r="Q5" i="2"/>
  <c r="Q7" i="2"/>
  <c r="C5" i="2" s="1"/>
  <c r="Q2" i="2"/>
  <c r="Q11" i="2"/>
  <c r="Q6" i="2"/>
  <c r="Q3" i="2"/>
  <c r="Q9" i="2"/>
  <c r="I5" i="2" s="1"/>
  <c r="E83" i="1"/>
  <c r="L2" i="1"/>
  <c r="E82" i="1"/>
  <c r="K25" i="25"/>
  <c r="B32" i="25" s="1"/>
  <c r="C97" i="32"/>
  <c r="C98" i="31"/>
  <c r="C134" i="30"/>
  <c r="C137" i="29"/>
  <c r="I29" i="15"/>
  <c r="A148" i="21"/>
  <c r="M14" i="12"/>
  <c r="N14" i="12"/>
  <c r="C105" i="24"/>
  <c r="J14" i="27"/>
  <c r="L5" i="15"/>
  <c r="C148" i="21"/>
  <c r="K5" i="15"/>
  <c r="E10" i="25"/>
  <c r="M16" i="12"/>
  <c r="N16" i="12"/>
  <c r="N17" i="12"/>
  <c r="M17" i="12"/>
  <c r="M15" i="12"/>
  <c r="O15" i="12" s="1"/>
  <c r="L4" i="15"/>
  <c r="F53" i="1"/>
  <c r="H53" i="1" s="1"/>
  <c r="L21" i="12"/>
  <c r="F54" i="1"/>
  <c r="H54" i="1" s="1"/>
  <c r="AB2" i="14"/>
  <c r="AC2" i="14" s="1"/>
  <c r="AB5" i="14" s="1"/>
  <c r="Q53" i="15"/>
  <c r="N53" i="15"/>
  <c r="K49" i="15"/>
  <c r="V4" i="14"/>
  <c r="V10" i="14" s="1"/>
  <c r="J17" i="18" s="1"/>
  <c r="C104" i="24"/>
  <c r="C147" i="21"/>
  <c r="Z15" i="23" s="1"/>
  <c r="D44" i="12"/>
  <c r="D51" i="15" l="1"/>
  <c r="S51" i="15" s="1"/>
  <c r="G31" i="15"/>
  <c r="G29" i="15"/>
  <c r="H29" i="15" s="1"/>
  <c r="C64" i="14"/>
  <c r="A42" i="15" s="1"/>
  <c r="N25" i="15"/>
  <c r="D54" i="15"/>
  <c r="S54" i="15" s="1"/>
  <c r="D50" i="15"/>
  <c r="S50" i="15" s="1"/>
  <c r="D56" i="15"/>
  <c r="S56" i="15" s="1"/>
  <c r="G30" i="15"/>
  <c r="T2" i="14"/>
  <c r="T5" i="14" s="1"/>
  <c r="D52" i="15"/>
  <c r="S52" i="15" s="1"/>
  <c r="I31" i="15"/>
  <c r="T3" i="14"/>
  <c r="U3" i="14"/>
  <c r="U11" i="14" s="1"/>
  <c r="AB1" i="14" s="1"/>
  <c r="AC1" i="14" s="1"/>
  <c r="AB6" i="14" s="1"/>
  <c r="D53" i="15"/>
  <c r="S53" i="15" s="1"/>
  <c r="I32" i="15"/>
  <c r="D55" i="15"/>
  <c r="S55" i="15" s="1"/>
  <c r="A41" i="15"/>
  <c r="I30" i="15"/>
  <c r="C51" i="15"/>
  <c r="R51" i="15" s="1"/>
  <c r="E55" i="15"/>
  <c r="O6" i="2"/>
  <c r="P6" i="2"/>
  <c r="O9" i="2"/>
  <c r="P9" i="2"/>
  <c r="R3" i="2"/>
  <c r="F9" i="2"/>
  <c r="H9" i="2"/>
  <c r="D9" i="2"/>
  <c r="I9" i="2"/>
  <c r="H10" i="2"/>
  <c r="I6" i="2"/>
  <c r="I10" i="2"/>
  <c r="D10" i="2"/>
  <c r="P10" i="2"/>
  <c r="F10" i="2"/>
  <c r="O10" i="2"/>
  <c r="D5" i="2"/>
  <c r="Q10" i="2"/>
  <c r="D6" i="2" s="1"/>
  <c r="P5" i="2"/>
  <c r="F5" i="2"/>
  <c r="H5" i="2" s="1"/>
  <c r="O5" i="2"/>
  <c r="Q14" i="2"/>
  <c r="B58" i="2" s="1"/>
  <c r="K10" i="2"/>
  <c r="M10" i="2"/>
  <c r="P4" i="2"/>
  <c r="O4" i="2"/>
  <c r="M9" i="2"/>
  <c r="K9" i="2"/>
  <c r="D12" i="36"/>
  <c r="O14" i="12"/>
  <c r="S4" i="5"/>
  <c r="D75" i="2"/>
  <c r="G14" i="5" s="1"/>
  <c r="C76" i="2"/>
  <c r="K5" i="2"/>
  <c r="O16" i="12"/>
  <c r="E50" i="15"/>
  <c r="V39" i="18"/>
  <c r="F21" i="18" s="1"/>
  <c r="J21" i="18" s="1"/>
  <c r="V55" i="18"/>
  <c r="V56" i="18" s="1"/>
  <c r="V42" i="18"/>
  <c r="G22" i="18" s="1"/>
  <c r="J22" i="18" s="1"/>
  <c r="V30" i="18"/>
  <c r="E20" i="18" s="1"/>
  <c r="J20" i="18" s="1"/>
  <c r="V3" i="18"/>
  <c r="J19" i="18" s="1"/>
  <c r="V47" i="18"/>
  <c r="H23" i="18" s="1"/>
  <c r="J23" i="18" s="1"/>
  <c r="Q13" i="2"/>
  <c r="H8" i="2" s="1"/>
  <c r="M5" i="2"/>
  <c r="N5" i="2"/>
  <c r="R8" i="2"/>
  <c r="G6" i="2" s="1"/>
  <c r="R2" i="2"/>
  <c r="M6" i="2" s="1"/>
  <c r="G10" i="2"/>
  <c r="E6" i="2"/>
  <c r="E10" i="2"/>
  <c r="B59" i="2" s="1"/>
  <c r="J5" i="2"/>
  <c r="N10" i="2"/>
  <c r="G9" i="2"/>
  <c r="C9" i="2"/>
  <c r="C6" i="2"/>
  <c r="C10" i="2"/>
  <c r="J9" i="2"/>
  <c r="E9" i="2"/>
  <c r="J10" i="2"/>
  <c r="L10" i="2"/>
  <c r="L9" i="2"/>
  <c r="L6" i="2"/>
  <c r="N9" i="2"/>
  <c r="J6" i="2"/>
  <c r="B36" i="25"/>
  <c r="B37" i="25"/>
  <c r="B27" i="25"/>
  <c r="B28" i="25"/>
  <c r="B26" i="25"/>
  <c r="B25" i="25"/>
  <c r="B33" i="25"/>
  <c r="B35" i="25"/>
  <c r="B30" i="25"/>
  <c r="B31" i="25"/>
  <c r="B34" i="25"/>
  <c r="B29" i="25"/>
  <c r="E39" i="1"/>
  <c r="AB9" i="14"/>
  <c r="E38" i="1"/>
  <c r="B48" i="27"/>
  <c r="B50" i="27"/>
  <c r="F19" i="1"/>
  <c r="R5" i="2"/>
  <c r="B43" i="2" s="1"/>
  <c r="J4" i="2"/>
  <c r="M4" i="2"/>
  <c r="L4" i="2"/>
  <c r="N4" i="2"/>
  <c r="K4" i="2"/>
  <c r="E42" i="1"/>
  <c r="I13" i="12"/>
  <c r="E41" i="1"/>
  <c r="E74" i="1"/>
  <c r="E43" i="1"/>
  <c r="G11" i="1"/>
  <c r="L8" i="27"/>
  <c r="L9" i="27" s="1"/>
  <c r="L10" i="27" s="1"/>
  <c r="L11" i="27" s="1"/>
  <c r="L12" i="27" s="1"/>
  <c r="L13" i="27" s="1"/>
  <c r="L14" i="27" s="1"/>
  <c r="L15" i="27" s="1"/>
  <c r="L16" i="27" s="1"/>
  <c r="L17" i="27" s="1"/>
  <c r="L18" i="27" s="1"/>
  <c r="L19" i="27" s="1"/>
  <c r="L20" i="27" s="1"/>
  <c r="L21" i="27" s="1"/>
  <c r="L22" i="27" s="1"/>
  <c r="L23" i="27" s="1"/>
  <c r="L24" i="27" s="1"/>
  <c r="L25" i="27" s="1"/>
  <c r="L26" i="27" s="1"/>
  <c r="L27" i="27" s="1"/>
  <c r="L28" i="27" s="1"/>
  <c r="L29" i="27" s="1"/>
  <c r="L30" i="27" s="1"/>
  <c r="L31" i="27" s="1"/>
  <c r="L32" i="27" s="1"/>
  <c r="L33" i="27" s="1"/>
  <c r="L34" i="27" s="1"/>
  <c r="L35" i="27" s="1"/>
  <c r="L36" i="27" s="1"/>
  <c r="L37" i="27" s="1"/>
  <c r="L38" i="27" s="1"/>
  <c r="L39" i="27" s="1"/>
  <c r="L40" i="27" s="1"/>
  <c r="L41" i="27" s="1"/>
  <c r="L42" i="27" s="1"/>
  <c r="L43" i="27" s="1"/>
  <c r="L44" i="27" s="1"/>
  <c r="L45" i="27" s="1"/>
  <c r="L46" i="27" s="1"/>
  <c r="L47" i="27" s="1"/>
  <c r="L48" i="27" s="1"/>
  <c r="L49" i="27" s="1"/>
  <c r="L50" i="27" s="1"/>
  <c r="L51" i="27" s="1"/>
  <c r="L52" i="27" s="1"/>
  <c r="L53" i="27" s="1"/>
  <c r="L54" i="27" s="1"/>
  <c r="L55" i="27" s="1"/>
  <c r="L56" i="27" s="1"/>
  <c r="L57" i="27" s="1"/>
  <c r="L58" i="27" s="1"/>
  <c r="L59" i="27" s="1"/>
  <c r="L60" i="27" s="1"/>
  <c r="A6" i="15"/>
  <c r="E71" i="1"/>
  <c r="E76" i="1"/>
  <c r="E40" i="1"/>
  <c r="E75" i="1"/>
  <c r="A56" i="1"/>
  <c r="F84" i="1"/>
  <c r="B52" i="12" s="1"/>
  <c r="E51" i="15"/>
  <c r="O17" i="12"/>
  <c r="H5" i="15"/>
  <c r="E10" i="27"/>
  <c r="C146" i="21"/>
  <c r="O15" i="23" s="1"/>
  <c r="C103" i="24"/>
  <c r="C52" i="15"/>
  <c r="C53" i="15"/>
  <c r="C50" i="15"/>
  <c r="R50" i="15" s="1"/>
  <c r="C56" i="15"/>
  <c r="M5" i="27"/>
  <c r="M23" i="12"/>
  <c r="M24" i="12" s="1"/>
  <c r="M26" i="12" s="1"/>
  <c r="N5" i="27"/>
  <c r="N9" i="27" s="1"/>
  <c r="N10" i="27" s="1"/>
  <c r="N11" i="27" s="1"/>
  <c r="N12" i="27" s="1"/>
  <c r="N13" i="27" s="1"/>
  <c r="N14" i="27" s="1"/>
  <c r="N15" i="27" s="1"/>
  <c r="N16" i="27" s="1"/>
  <c r="N17" i="27" s="1"/>
  <c r="N18" i="27" s="1"/>
  <c r="N19" i="27" s="1"/>
  <c r="N20" i="27" s="1"/>
  <c r="N21" i="27" s="1"/>
  <c r="N22" i="27" s="1"/>
  <c r="N23" i="27" s="1"/>
  <c r="N24" i="27" s="1"/>
  <c r="N25" i="27" s="1"/>
  <c r="N26" i="27" s="1"/>
  <c r="N27" i="27" s="1"/>
  <c r="N28" i="27" s="1"/>
  <c r="N29" i="27" s="1"/>
  <c r="N30" i="27" s="1"/>
  <c r="N31" i="27" s="1"/>
  <c r="N32" i="27" s="1"/>
  <c r="N33" i="27" s="1"/>
  <c r="N34" i="27" s="1"/>
  <c r="N35" i="27" s="1"/>
  <c r="N36" i="27" s="1"/>
  <c r="N37" i="27" s="1"/>
  <c r="N38" i="27" s="1"/>
  <c r="N39" i="27" s="1"/>
  <c r="N40" i="27" s="1"/>
  <c r="N41" i="27" s="1"/>
  <c r="N42" i="27" s="1"/>
  <c r="N43" i="27" s="1"/>
  <c r="N44" i="27" s="1"/>
  <c r="N45" i="27" s="1"/>
  <c r="N46" i="27" s="1"/>
  <c r="N47" i="27" s="1"/>
  <c r="N48" i="27" s="1"/>
  <c r="N49" i="27" s="1"/>
  <c r="N50" i="27" s="1"/>
  <c r="N51" i="27" s="1"/>
  <c r="N52" i="27" s="1"/>
  <c r="N53" i="27" s="1"/>
  <c r="N54" i="27" s="1"/>
  <c r="N55" i="27" s="1"/>
  <c r="N56" i="27" s="1"/>
  <c r="N57" i="27" s="1"/>
  <c r="N58" i="27" s="1"/>
  <c r="N59" i="27" s="1"/>
  <c r="N60" i="27" s="1"/>
  <c r="M58" i="5"/>
  <c r="P58" i="5" s="1"/>
  <c r="L23" i="12"/>
  <c r="L24" i="12" s="1"/>
  <c r="M21" i="12"/>
  <c r="M27" i="12" s="1"/>
  <c r="J9" i="12"/>
  <c r="D10" i="36" s="1"/>
  <c r="J10" i="27"/>
  <c r="U25" i="14"/>
  <c r="T25" i="14" s="1"/>
  <c r="U24" i="14" l="1"/>
  <c r="T24" i="14" s="1"/>
  <c r="T15" i="23" s="1"/>
  <c r="C54" i="15"/>
  <c r="C55" i="15"/>
  <c r="R55" i="15" s="1"/>
  <c r="AF79" i="5"/>
  <c r="AF77" i="5"/>
  <c r="AF76" i="5"/>
  <c r="R62" i="5" s="1"/>
  <c r="AF78" i="5"/>
  <c r="R64" i="5" s="1"/>
  <c r="R63" i="5"/>
  <c r="B37" i="12"/>
  <c r="T4" i="14"/>
  <c r="U26" i="14" s="1"/>
  <c r="T26" i="14" s="1"/>
  <c r="T6" i="14"/>
  <c r="P37" i="15"/>
  <c r="S48" i="5"/>
  <c r="R61" i="5"/>
  <c r="S51" i="5" s="1"/>
  <c r="AB3" i="14"/>
  <c r="AB4" i="14" s="1"/>
  <c r="AC4" i="14" s="1"/>
  <c r="AB7" i="14" s="1"/>
  <c r="AC7" i="14" s="1"/>
  <c r="F51" i="15"/>
  <c r="G51" i="15" s="1"/>
  <c r="U51" i="15" s="1"/>
  <c r="T51" i="15" s="1"/>
  <c r="B57" i="2"/>
  <c r="N7" i="2"/>
  <c r="H7" i="2"/>
  <c r="B50" i="2" s="1"/>
  <c r="O7" i="2"/>
  <c r="B55" i="2"/>
  <c r="B53" i="2"/>
  <c r="B41" i="2"/>
  <c r="B44" i="2"/>
  <c r="B39" i="2"/>
  <c r="H6" i="2"/>
  <c r="K6" i="2"/>
  <c r="D7" i="2"/>
  <c r="B46" i="2" s="1"/>
  <c r="I7" i="2"/>
  <c r="B51" i="2" s="1"/>
  <c r="F7" i="2"/>
  <c r="B48" i="2" s="1"/>
  <c r="B56" i="2"/>
  <c r="B52" i="2"/>
  <c r="E7" i="2"/>
  <c r="B47" i="2" s="1"/>
  <c r="F6" i="2"/>
  <c r="C7" i="2"/>
  <c r="B45" i="2" s="1"/>
  <c r="M7" i="2"/>
  <c r="P7" i="2"/>
  <c r="P8" i="2"/>
  <c r="O8" i="2"/>
  <c r="I8" i="2"/>
  <c r="F8" i="2"/>
  <c r="D8" i="2"/>
  <c r="J7" i="2"/>
  <c r="L7" i="2"/>
  <c r="B54" i="2"/>
  <c r="G7" i="2"/>
  <c r="B49" i="2" s="1"/>
  <c r="K8" i="2"/>
  <c r="M8" i="2"/>
  <c r="K7" i="2"/>
  <c r="S40" i="5"/>
  <c r="S16" i="5"/>
  <c r="S12" i="5"/>
  <c r="S13" i="5"/>
  <c r="S15" i="5"/>
  <c r="S14" i="5"/>
  <c r="D76" i="2"/>
  <c r="G15" i="5" s="1"/>
  <c r="C77" i="2"/>
  <c r="S32" i="5"/>
  <c r="S17" i="5"/>
  <c r="S23" i="5"/>
  <c r="S20" i="5"/>
  <c r="S22" i="5"/>
  <c r="S24" i="5"/>
  <c r="S19" i="5"/>
  <c r="S27" i="5"/>
  <c r="S26" i="5"/>
  <c r="S29" i="5"/>
  <c r="S28" i="5"/>
  <c r="S25" i="5"/>
  <c r="S21" i="5"/>
  <c r="S18" i="5"/>
  <c r="E8" i="2"/>
  <c r="L8" i="2"/>
  <c r="I14" i="25"/>
  <c r="S30" i="5"/>
  <c r="S41" i="5"/>
  <c r="S31" i="5"/>
  <c r="S38" i="5"/>
  <c r="S34" i="5"/>
  <c r="S36" i="5"/>
  <c r="S33" i="5"/>
  <c r="G8" i="2"/>
  <c r="S49" i="5"/>
  <c r="S39" i="5"/>
  <c r="S35" i="5"/>
  <c r="S37" i="5"/>
  <c r="N8" i="2"/>
  <c r="J8" i="2"/>
  <c r="S45" i="5"/>
  <c r="C8" i="2"/>
  <c r="R17" i="18"/>
  <c r="K50" i="1"/>
  <c r="N6" i="2"/>
  <c r="S43" i="5"/>
  <c r="S42" i="5"/>
  <c r="S46" i="5"/>
  <c r="S47" i="5"/>
  <c r="S44" i="5"/>
  <c r="S50" i="5"/>
  <c r="R65" i="5"/>
  <c r="S65" i="5"/>
  <c r="S52" i="5" s="1"/>
  <c r="B40" i="2"/>
  <c r="B42" i="2"/>
  <c r="B38" i="2"/>
  <c r="F50" i="15"/>
  <c r="C141" i="29"/>
  <c r="C101" i="32"/>
  <c r="C138" i="30"/>
  <c r="C102" i="31"/>
  <c r="R53" i="15"/>
  <c r="E53" i="15"/>
  <c r="F53" i="15" s="1"/>
  <c r="E56" i="15"/>
  <c r="G56" i="15" s="1"/>
  <c r="E52" i="15"/>
  <c r="F52" i="15" s="1"/>
  <c r="R54" i="15"/>
  <c r="E54" i="15"/>
  <c r="F54" i="15" s="1"/>
  <c r="A37" i="15"/>
  <c r="R56" i="15"/>
  <c r="R52" i="15"/>
  <c r="M28" i="12"/>
  <c r="M35" i="12" s="1"/>
  <c r="M31" i="12"/>
  <c r="L26" i="12"/>
  <c r="N26" i="12" s="1"/>
  <c r="P14" i="27"/>
  <c r="Q14" i="27" s="1"/>
  <c r="P11" i="27"/>
  <c r="Q11" i="27" s="1"/>
  <c r="M9" i="27"/>
  <c r="M10" i="27" s="1"/>
  <c r="M11" i="27" s="1"/>
  <c r="M12" i="27" s="1"/>
  <c r="M13" i="27" s="1"/>
  <c r="M14" i="27" s="1"/>
  <c r="M15" i="27" s="1"/>
  <c r="M16" i="27" s="1"/>
  <c r="M17" i="27" s="1"/>
  <c r="M18" i="27" s="1"/>
  <c r="M19" i="27" s="1"/>
  <c r="M20" i="27" s="1"/>
  <c r="M21" i="27" s="1"/>
  <c r="M22" i="27" s="1"/>
  <c r="M23" i="27" s="1"/>
  <c r="M24" i="27" s="1"/>
  <c r="M25" i="27" s="1"/>
  <c r="M26" i="27" s="1"/>
  <c r="M27" i="27" s="1"/>
  <c r="M28" i="27" s="1"/>
  <c r="P9" i="27"/>
  <c r="Q9" i="27" s="1"/>
  <c r="P15" i="27"/>
  <c r="Q15" i="27" s="1"/>
  <c r="P13" i="27"/>
  <c r="Q13" i="27" s="1"/>
  <c r="P5" i="27"/>
  <c r="Q5" i="27" s="1"/>
  <c r="P8" i="27"/>
  <c r="Q8" i="27" s="1"/>
  <c r="P16" i="27"/>
  <c r="Q16" i="27" s="1"/>
  <c r="P6" i="27"/>
  <c r="Q6" i="27" s="1"/>
  <c r="P7" i="27"/>
  <c r="Q7" i="27" s="1"/>
  <c r="P12" i="27"/>
  <c r="Q12" i="27" s="1"/>
  <c r="P10" i="27"/>
  <c r="Q10" i="27" s="1"/>
  <c r="M22" i="12"/>
  <c r="AC6" i="14"/>
  <c r="U27" i="14"/>
  <c r="T27" i="14" s="1"/>
  <c r="W15" i="23" s="1"/>
  <c r="U28" i="14"/>
  <c r="T28" i="14" s="1"/>
  <c r="X15" i="23" s="1"/>
  <c r="J10" i="25"/>
  <c r="C107" i="24"/>
  <c r="N5" i="15"/>
  <c r="C150" i="21"/>
  <c r="AA15" i="23" s="1"/>
  <c r="F55" i="15" l="1"/>
  <c r="G55" i="15" s="1"/>
  <c r="AA8" i="14"/>
  <c r="T11" i="14"/>
  <c r="A9" i="12" s="1"/>
  <c r="E24" i="1"/>
  <c r="D11" i="36" s="1"/>
  <c r="D15" i="36" s="1"/>
  <c r="D19" i="36" s="1"/>
  <c r="G52" i="15"/>
  <c r="U52" i="15" s="1"/>
  <c r="T52" i="15" s="1"/>
  <c r="I51" i="15"/>
  <c r="V51" i="15" s="1"/>
  <c r="G54" i="15"/>
  <c r="U54" i="15" s="1"/>
  <c r="T54" i="15" s="1"/>
  <c r="G53" i="15"/>
  <c r="U53" i="15" s="1"/>
  <c r="T53" i="15" s="1"/>
  <c r="G50" i="15"/>
  <c r="U50" i="15" s="1"/>
  <c r="T50" i="15" s="1"/>
  <c r="D77" i="2"/>
  <c r="C78" i="2"/>
  <c r="V12" i="5"/>
  <c r="U12" i="5"/>
  <c r="S58" i="5"/>
  <c r="J71" i="1" s="1"/>
  <c r="U56" i="15"/>
  <c r="T56" i="15" s="1"/>
  <c r="I56" i="15"/>
  <c r="V56" i="15" s="1"/>
  <c r="U55" i="15"/>
  <c r="T55" i="15" s="1"/>
  <c r="I55" i="15"/>
  <c r="M55" i="15" s="1"/>
  <c r="X55" i="15" s="1"/>
  <c r="F56" i="15"/>
  <c r="B28" i="12"/>
  <c r="M29" i="27"/>
  <c r="M30" i="27" s="1"/>
  <c r="M31" i="27" s="1"/>
  <c r="M32" i="27" s="1"/>
  <c r="M33" i="27" s="1"/>
  <c r="M34" i="27" s="1"/>
  <c r="M35" i="27" s="1"/>
  <c r="M36" i="27" s="1"/>
  <c r="M37" i="27" s="1"/>
  <c r="M38" i="27" s="1"/>
  <c r="M39" i="27" s="1"/>
  <c r="M40" i="27" s="1"/>
  <c r="M41" i="27" s="1"/>
  <c r="M42" i="27" s="1"/>
  <c r="M43" i="27" s="1"/>
  <c r="M44" i="27" s="1"/>
  <c r="M45" i="27" s="1"/>
  <c r="M46" i="27" s="1"/>
  <c r="M47" i="27" s="1"/>
  <c r="M48" i="27" s="1"/>
  <c r="M49" i="27" s="1"/>
  <c r="M50" i="27" s="1"/>
  <c r="M51" i="27" s="1"/>
  <c r="M52" i="27" s="1"/>
  <c r="M53" i="27" s="1"/>
  <c r="M54" i="27" s="1"/>
  <c r="M55" i="27" s="1"/>
  <c r="M56" i="27" s="1"/>
  <c r="M57" i="27" s="1"/>
  <c r="M58" i="27" s="1"/>
  <c r="M59" i="27" s="1"/>
  <c r="M60" i="27" s="1"/>
  <c r="AA10" i="14"/>
  <c r="AA11" i="14" s="1"/>
  <c r="AA12" i="14" s="1"/>
  <c r="AA13" i="14" s="1"/>
  <c r="AA14" i="14" s="1"/>
  <c r="U12" i="14" s="1"/>
  <c r="A10" i="27" l="1"/>
  <c r="G78" i="1"/>
  <c r="J36" i="12" s="1"/>
  <c r="I52" i="15"/>
  <c r="M52" i="15" s="1"/>
  <c r="X52" i="15" s="1"/>
  <c r="F40" i="1"/>
  <c r="G40" i="1" s="1"/>
  <c r="D54" i="5"/>
  <c r="K54" i="5" s="1"/>
  <c r="N54" i="5" s="1"/>
  <c r="D55" i="5"/>
  <c r="K55" i="5" s="1"/>
  <c r="N55" i="5" s="1"/>
  <c r="D10" i="5"/>
  <c r="D20" i="5"/>
  <c r="D22" i="5"/>
  <c r="D29" i="5"/>
  <c r="K29" i="5" s="1"/>
  <c r="D46" i="5"/>
  <c r="K46" i="5" s="1"/>
  <c r="D11" i="5"/>
  <c r="D39" i="5"/>
  <c r="K39" i="5" s="1"/>
  <c r="I50" i="15"/>
  <c r="M50" i="15" s="1"/>
  <c r="X50" i="15" s="1"/>
  <c r="D30" i="5"/>
  <c r="Z30" i="5" s="1"/>
  <c r="AA30" i="5" s="1"/>
  <c r="D16" i="5"/>
  <c r="D48" i="5"/>
  <c r="K48" i="5" s="1"/>
  <c r="N48" i="5" s="1"/>
  <c r="F60" i="1" s="1"/>
  <c r="D34" i="5"/>
  <c r="Z34" i="5" s="1"/>
  <c r="AA34" i="5" s="1"/>
  <c r="D51" i="5"/>
  <c r="Z51" i="5" s="1"/>
  <c r="AA51" i="5" s="1"/>
  <c r="D9" i="5"/>
  <c r="F42" i="1"/>
  <c r="G42" i="1" s="1"/>
  <c r="D45" i="5"/>
  <c r="Z45" i="5" s="1"/>
  <c r="AA45" i="5" s="1"/>
  <c r="D8" i="5"/>
  <c r="D26" i="5"/>
  <c r="K26" i="5" s="1"/>
  <c r="D32" i="5"/>
  <c r="Z32" i="5" s="1"/>
  <c r="AA32" i="5" s="1"/>
  <c r="D53" i="5"/>
  <c r="K53" i="5" s="1"/>
  <c r="N53" i="5" s="1"/>
  <c r="F41" i="1"/>
  <c r="G41" i="1" s="1"/>
  <c r="D37" i="5"/>
  <c r="K37" i="5" s="1"/>
  <c r="G30" i="1"/>
  <c r="D7" i="5"/>
  <c r="J17" i="12"/>
  <c r="L46" i="12" s="1"/>
  <c r="M46" i="12" s="1"/>
  <c r="P46" i="12" s="1"/>
  <c r="Q46" i="12" s="1"/>
  <c r="D13" i="5"/>
  <c r="F38" i="1"/>
  <c r="G38" i="1" s="1"/>
  <c r="D52" i="5"/>
  <c r="Z52" i="5" s="1"/>
  <c r="AA52" i="5" s="1"/>
  <c r="D14" i="5"/>
  <c r="D47" i="5"/>
  <c r="Z47" i="5" s="1"/>
  <c r="AA47" i="5" s="1"/>
  <c r="D36" i="5"/>
  <c r="Z36" i="5" s="1"/>
  <c r="AA36" i="5" s="1"/>
  <c r="D21" i="5"/>
  <c r="D23" i="5"/>
  <c r="D43" i="5"/>
  <c r="Z43" i="5" s="1"/>
  <c r="AA43" i="5" s="1"/>
  <c r="D38" i="5"/>
  <c r="K38" i="5" s="1"/>
  <c r="D12" i="5"/>
  <c r="D27" i="5"/>
  <c r="K27" i="5" s="1"/>
  <c r="D49" i="5"/>
  <c r="K49" i="5" s="1"/>
  <c r="D5" i="5"/>
  <c r="J15" i="23"/>
  <c r="D28" i="5"/>
  <c r="K28" i="5" s="1"/>
  <c r="D31" i="5"/>
  <c r="K31" i="5" s="1"/>
  <c r="D19" i="5"/>
  <c r="D42" i="5"/>
  <c r="K42" i="5" s="1"/>
  <c r="F39" i="1"/>
  <c r="G39" i="1" s="1"/>
  <c r="D40" i="5"/>
  <c r="Z40" i="5" s="1"/>
  <c r="AA40" i="5" s="1"/>
  <c r="D6" i="5"/>
  <c r="D57" i="5"/>
  <c r="K57" i="5" s="1"/>
  <c r="N57" i="5" s="1"/>
  <c r="D33" i="5"/>
  <c r="K33" i="5" s="1"/>
  <c r="D25" i="5"/>
  <c r="Z25" i="5" s="1"/>
  <c r="AA25" i="5" s="1"/>
  <c r="D24" i="5"/>
  <c r="D44" i="5"/>
  <c r="Z44" i="5" s="1"/>
  <c r="AA44" i="5" s="1"/>
  <c r="D15" i="5"/>
  <c r="Z15" i="5" s="1"/>
  <c r="AA15" i="5" s="1"/>
  <c r="E19" i="36"/>
  <c r="J53" i="12" s="1"/>
  <c r="F43" i="1"/>
  <c r="G43" i="1" s="1"/>
  <c r="D18" i="5"/>
  <c r="D56" i="5"/>
  <c r="D50" i="5"/>
  <c r="Z50" i="5" s="1"/>
  <c r="AA50" i="5" s="1"/>
  <c r="D35" i="5"/>
  <c r="Z35" i="5" s="1"/>
  <c r="AA35" i="5" s="1"/>
  <c r="D17" i="5"/>
  <c r="D41" i="5"/>
  <c r="K41" i="5" s="1"/>
  <c r="J84" i="1"/>
  <c r="E84" i="1" s="1"/>
  <c r="J52" i="12" s="1"/>
  <c r="I53" i="15"/>
  <c r="V53" i="15" s="1"/>
  <c r="I54" i="15"/>
  <c r="V54" i="15" s="1"/>
  <c r="M51" i="15"/>
  <c r="X51" i="15" s="1"/>
  <c r="V13" i="5"/>
  <c r="U13" i="5"/>
  <c r="Z7" i="5"/>
  <c r="AA7" i="5" s="1"/>
  <c r="K7" i="5"/>
  <c r="K13" i="5"/>
  <c r="Z13" i="5"/>
  <c r="AA13" i="5" s="1"/>
  <c r="K9" i="5"/>
  <c r="Z9" i="5"/>
  <c r="AA9" i="5" s="1"/>
  <c r="Z6" i="5"/>
  <c r="AA6" i="5" s="1"/>
  <c r="K6" i="5"/>
  <c r="Z8" i="5"/>
  <c r="AA8" i="5" s="1"/>
  <c r="K8" i="5"/>
  <c r="K14" i="5"/>
  <c r="Z14" i="5"/>
  <c r="AA14" i="5" s="1"/>
  <c r="D78" i="2"/>
  <c r="G17" i="5" s="1"/>
  <c r="C79" i="2"/>
  <c r="K11" i="5"/>
  <c r="Z11" i="5"/>
  <c r="AA11" i="5" s="1"/>
  <c r="Z12" i="5"/>
  <c r="AA12" i="5" s="1"/>
  <c r="K12" i="5"/>
  <c r="Z10" i="5"/>
  <c r="AA10" i="5" s="1"/>
  <c r="K10" i="5"/>
  <c r="Z16" i="5"/>
  <c r="AA16" i="5" s="1"/>
  <c r="K16" i="5"/>
  <c r="K5" i="5"/>
  <c r="Z5" i="5"/>
  <c r="AA5" i="5" s="1"/>
  <c r="K15" i="5"/>
  <c r="F9" i="12"/>
  <c r="J18" i="12" s="1"/>
  <c r="J19" i="27" s="1"/>
  <c r="J4" i="18"/>
  <c r="V27" i="18" s="1"/>
  <c r="H14" i="18" s="1"/>
  <c r="J14" i="18" s="1"/>
  <c r="K24" i="5"/>
  <c r="Z24" i="5"/>
  <c r="AA24" i="5" s="1"/>
  <c r="Z27" i="5"/>
  <c r="AA27" i="5" s="1"/>
  <c r="Z21" i="5"/>
  <c r="AA21" i="5" s="1"/>
  <c r="K21" i="5"/>
  <c r="K18" i="5"/>
  <c r="Z18" i="5"/>
  <c r="AA18" i="5" s="1"/>
  <c r="Z23" i="5"/>
  <c r="AA23" i="5" s="1"/>
  <c r="K23" i="5"/>
  <c r="K17" i="5"/>
  <c r="Z17" i="5"/>
  <c r="AA17" i="5" s="1"/>
  <c r="K19" i="5"/>
  <c r="Z19" i="5"/>
  <c r="AA19" i="5" s="1"/>
  <c r="Z22" i="5"/>
  <c r="AA22" i="5" s="1"/>
  <c r="K22" i="5"/>
  <c r="K20" i="5"/>
  <c r="Z20" i="5"/>
  <c r="AA20" i="5" s="1"/>
  <c r="Z29" i="5"/>
  <c r="AA29" i="5" s="1"/>
  <c r="M7" i="27"/>
  <c r="V55" i="15"/>
  <c r="M56" i="15"/>
  <c r="X56" i="15" s="1"/>
  <c r="B22" i="25"/>
  <c r="B27" i="27"/>
  <c r="A10" i="25"/>
  <c r="A5" i="15"/>
  <c r="K55" i="15"/>
  <c r="W55" i="15" s="1"/>
  <c r="K25" i="5" l="1"/>
  <c r="Z26" i="5"/>
  <c r="AA26" i="5" s="1"/>
  <c r="K52" i="15"/>
  <c r="W52" i="15" s="1"/>
  <c r="K30" i="5"/>
  <c r="Z28" i="5"/>
  <c r="AA28" i="5" s="1"/>
  <c r="AD79" i="5"/>
  <c r="AD76" i="5"/>
  <c r="AD75" i="5"/>
  <c r="AD78" i="5"/>
  <c r="AD77" i="5"/>
  <c r="K56" i="5"/>
  <c r="N56" i="5" s="1"/>
  <c r="K45" i="5"/>
  <c r="Z31" i="5"/>
  <c r="AA31" i="5" s="1"/>
  <c r="V52" i="15"/>
  <c r="K47" i="5"/>
  <c r="K51" i="5"/>
  <c r="N51" i="5" s="1"/>
  <c r="K50" i="15"/>
  <c r="W50" i="15" s="1"/>
  <c r="Z49" i="5"/>
  <c r="AA49" i="5" s="1"/>
  <c r="Z46" i="5"/>
  <c r="AA46" i="5" s="1"/>
  <c r="Z39" i="5"/>
  <c r="AA39" i="5" s="1"/>
  <c r="K34" i="5"/>
  <c r="K52" i="5"/>
  <c r="N52" i="5" s="1"/>
  <c r="K32" i="5"/>
  <c r="Z48" i="5"/>
  <c r="AA48" i="5" s="1"/>
  <c r="M53" i="15"/>
  <c r="X53" i="15" s="1"/>
  <c r="K36" i="5"/>
  <c r="V50" i="15"/>
  <c r="M54" i="15"/>
  <c r="X54" i="15" s="1"/>
  <c r="J18" i="25"/>
  <c r="J18" i="27"/>
  <c r="L45" i="12"/>
  <c r="M45" i="12" s="1"/>
  <c r="N45" i="12" s="1"/>
  <c r="O45" i="12" s="1"/>
  <c r="N46" i="12"/>
  <c r="O46" i="12" s="1"/>
  <c r="L47" i="12"/>
  <c r="M47" i="12" s="1"/>
  <c r="L44" i="12"/>
  <c r="M44" i="12" s="1"/>
  <c r="N44" i="12" s="1"/>
  <c r="O44" i="12" s="1"/>
  <c r="G42" i="12" s="1"/>
  <c r="Z37" i="5"/>
  <c r="AA37" i="5" s="1"/>
  <c r="K43" i="5"/>
  <c r="Z33" i="5"/>
  <c r="AA33" i="5" s="1"/>
  <c r="Z38" i="5"/>
  <c r="AA38" i="5" s="1"/>
  <c r="K40" i="5"/>
  <c r="J36" i="1"/>
  <c r="J38" i="1" s="1"/>
  <c r="F44" i="1" s="1"/>
  <c r="A58" i="15" s="1"/>
  <c r="K44" i="5"/>
  <c r="K35" i="5"/>
  <c r="Z42" i="5"/>
  <c r="AA42" i="5" s="1"/>
  <c r="K50" i="5"/>
  <c r="N50" i="5" s="1"/>
  <c r="F62" i="1" s="1"/>
  <c r="Z41" i="5"/>
  <c r="AA41" i="5" s="1"/>
  <c r="K51" i="15"/>
  <c r="W51" i="15" s="1"/>
  <c r="I5" i="15"/>
  <c r="C136" i="29"/>
  <c r="C97" i="31"/>
  <c r="C102" i="24"/>
  <c r="V14" i="18"/>
  <c r="E11" i="18" s="1"/>
  <c r="J11" i="18" s="1"/>
  <c r="R7" i="18" s="1"/>
  <c r="V14" i="5"/>
  <c r="U14" i="5"/>
  <c r="V6" i="18"/>
  <c r="B8" i="18" s="1"/>
  <c r="J8" i="18" s="1"/>
  <c r="C96" i="32"/>
  <c r="F10" i="27"/>
  <c r="Q5" i="5"/>
  <c r="L5" i="5"/>
  <c r="M6" i="5" s="1"/>
  <c r="P5" i="5"/>
  <c r="P6" i="5" s="1"/>
  <c r="Q7" i="5" s="1"/>
  <c r="M5" i="5"/>
  <c r="D79" i="2"/>
  <c r="C80" i="2"/>
  <c r="C133" i="30"/>
  <c r="C145" i="21"/>
  <c r="S15" i="23" s="1"/>
  <c r="V4" i="18"/>
  <c r="A7" i="18" s="1"/>
  <c r="J7" i="18" s="1"/>
  <c r="V26" i="18"/>
  <c r="G13" i="18" s="1"/>
  <c r="J13" i="18" s="1"/>
  <c r="V12" i="18"/>
  <c r="D10" i="18" s="1"/>
  <c r="J10" i="18" s="1"/>
  <c r="V23" i="18"/>
  <c r="F12" i="18" s="1"/>
  <c r="N8" i="18" s="1"/>
  <c r="V9" i="18"/>
  <c r="C9" i="18" s="1"/>
  <c r="J9" i="18" s="1"/>
  <c r="V49" i="18"/>
  <c r="V50" i="18" s="1"/>
  <c r="O9" i="18" s="1"/>
  <c r="R9" i="18" s="1"/>
  <c r="F10" i="25"/>
  <c r="V2" i="18"/>
  <c r="J6" i="18" s="1"/>
  <c r="N49" i="5"/>
  <c r="F61" i="1" s="1"/>
  <c r="N46" i="5"/>
  <c r="F58" i="1" s="1"/>
  <c r="N47" i="5"/>
  <c r="F59" i="1" s="1"/>
  <c r="N45" i="5"/>
  <c r="F57" i="1" s="1"/>
  <c r="K56" i="15"/>
  <c r="W56" i="15" s="1"/>
  <c r="J72" i="1" l="1"/>
  <c r="G71" i="1" s="1"/>
  <c r="H71" i="1" s="1"/>
  <c r="K53" i="15"/>
  <c r="W53" i="15" s="1"/>
  <c r="P44" i="12"/>
  <c r="Q44" i="12" s="1"/>
  <c r="J42" i="12" s="1"/>
  <c r="K54" i="15"/>
  <c r="W54" i="15" s="1"/>
  <c r="P45" i="12"/>
  <c r="Q45" i="12" s="1"/>
  <c r="G44" i="1"/>
  <c r="G46" i="1" s="1"/>
  <c r="L48" i="12"/>
  <c r="L51" i="12" s="1"/>
  <c r="F46" i="1"/>
  <c r="J48" i="1" s="1"/>
  <c r="G48" i="15"/>
  <c r="AA58" i="5"/>
  <c r="M7" i="18"/>
  <c r="R4" i="18" s="1"/>
  <c r="P7" i="5"/>
  <c r="Q8" i="5" s="1"/>
  <c r="L6" i="5"/>
  <c r="V15" i="5"/>
  <c r="U15" i="5"/>
  <c r="Q6" i="5"/>
  <c r="J12" i="18"/>
  <c r="R8" i="18" s="1"/>
  <c r="D80" i="2"/>
  <c r="C81" i="2"/>
  <c r="P47" i="12"/>
  <c r="N47" i="12"/>
  <c r="M48" i="12"/>
  <c r="M51" i="12" s="1"/>
  <c r="D42" i="12"/>
  <c r="G76" i="1" l="1"/>
  <c r="H76" i="1" s="1"/>
  <c r="G75" i="1"/>
  <c r="H75" i="1" s="1"/>
  <c r="G74" i="1"/>
  <c r="J34" i="12" s="1"/>
  <c r="G72" i="1"/>
  <c r="H72" i="1" s="1"/>
  <c r="J33" i="12"/>
  <c r="E46" i="1"/>
  <c r="J37" i="1"/>
  <c r="P8" i="5"/>
  <c r="Q9" i="5" s="1"/>
  <c r="M7" i="5"/>
  <c r="L7" i="5"/>
  <c r="V16" i="5"/>
  <c r="U16" i="5"/>
  <c r="D81" i="2"/>
  <c r="G16" i="5" s="1"/>
  <c r="C82" i="2"/>
  <c r="H74" i="1"/>
  <c r="O47" i="12"/>
  <c r="O48" i="12" s="1"/>
  <c r="N48" i="12"/>
  <c r="N51" i="12" s="1"/>
  <c r="Q47" i="12"/>
  <c r="Q48" i="12" s="1"/>
  <c r="P48" i="12"/>
  <c r="P51" i="12" s="1"/>
  <c r="J35" i="12" l="1"/>
  <c r="P9" i="5"/>
  <c r="P10" i="5" s="1"/>
  <c r="M8" i="5"/>
  <c r="L8" i="5"/>
  <c r="U17" i="5"/>
  <c r="V17" i="5"/>
  <c r="D82" i="2"/>
  <c r="C83" i="2"/>
  <c r="J43" i="12"/>
  <c r="J45" i="12" s="1"/>
  <c r="J46" i="12" s="1"/>
  <c r="Q51" i="12"/>
  <c r="G43" i="12"/>
  <c r="O51" i="12"/>
  <c r="Q10" i="5" l="1"/>
  <c r="L9" i="5"/>
  <c r="M9" i="5"/>
  <c r="V18" i="5"/>
  <c r="U18" i="5"/>
  <c r="P11" i="5"/>
  <c r="Q11" i="5"/>
  <c r="D83" i="2"/>
  <c r="C84" i="2"/>
  <c r="D43" i="12"/>
  <c r="G45" i="12"/>
  <c r="D45" i="12" s="1"/>
  <c r="M10" i="5" l="1"/>
  <c r="L10" i="5"/>
  <c r="G18" i="5"/>
  <c r="P12" i="5"/>
  <c r="Q12" i="5"/>
  <c r="V19" i="5"/>
  <c r="U19" i="5"/>
  <c r="D84" i="2"/>
  <c r="G19" i="5" s="1"/>
  <c r="C85" i="2"/>
  <c r="M11" i="5" l="1"/>
  <c r="L11" i="5"/>
  <c r="V20" i="5"/>
  <c r="U20" i="5"/>
  <c r="P13" i="5"/>
  <c r="Q13" i="5"/>
  <c r="C86" i="2"/>
  <c r="D85" i="2"/>
  <c r="G20" i="5" s="1"/>
  <c r="L12" i="5" l="1"/>
  <c r="M12" i="5"/>
  <c r="Q14" i="5"/>
  <c r="P14" i="5"/>
  <c r="V21" i="5"/>
  <c r="U21" i="5"/>
  <c r="D86" i="2"/>
  <c r="G21" i="5" s="1"/>
  <c r="C87" i="2"/>
  <c r="M13" i="5" l="1"/>
  <c r="L13" i="5"/>
  <c r="V22" i="5"/>
  <c r="U22" i="5"/>
  <c r="Q15" i="5"/>
  <c r="P15" i="5"/>
  <c r="C88" i="2"/>
  <c r="D87" i="2"/>
  <c r="G22" i="5" s="1"/>
  <c r="L25" i="12" l="1"/>
  <c r="L14" i="5"/>
  <c r="M14" i="5"/>
  <c r="P16" i="5"/>
  <c r="Q16" i="5"/>
  <c r="U23" i="5"/>
  <c r="V23" i="5"/>
  <c r="C89" i="2"/>
  <c r="D88" i="2"/>
  <c r="G23" i="5" s="1"/>
  <c r="M25" i="12" l="1"/>
  <c r="M15" i="5"/>
  <c r="L15" i="5"/>
  <c r="V24" i="5"/>
  <c r="U24" i="5"/>
  <c r="Q17" i="5"/>
  <c r="P17" i="5"/>
  <c r="D89" i="2"/>
  <c r="G24" i="5" s="1"/>
  <c r="C90" i="2"/>
  <c r="L16" i="5" l="1"/>
  <c r="M16" i="5"/>
  <c r="V25" i="5"/>
  <c r="U25" i="5"/>
  <c r="P18" i="5"/>
  <c r="Q18" i="5"/>
  <c r="C91" i="2"/>
  <c r="D90" i="2"/>
  <c r="G25" i="5" s="1"/>
  <c r="L17" i="5" l="1"/>
  <c r="M17" i="5"/>
  <c r="P19" i="5"/>
  <c r="Q19" i="5"/>
  <c r="U26" i="5"/>
  <c r="V26" i="5"/>
  <c r="C92" i="2"/>
  <c r="D91" i="2"/>
  <c r="G26" i="5" s="1"/>
  <c r="M18" i="5" l="1"/>
  <c r="L18" i="5"/>
  <c r="U27" i="5"/>
  <c r="V27" i="5"/>
  <c r="Q20" i="5"/>
  <c r="P20" i="5"/>
  <c r="D92" i="2"/>
  <c r="G27" i="5" s="1"/>
  <c r="C93" i="2"/>
  <c r="L19" i="5" l="1"/>
  <c r="M19" i="5"/>
  <c r="V28" i="5"/>
  <c r="U28" i="5"/>
  <c r="Q21" i="5"/>
  <c r="P21" i="5"/>
  <c r="C94" i="2"/>
  <c r="D93" i="2"/>
  <c r="G28" i="5" s="1"/>
  <c r="M20" i="5" l="1"/>
  <c r="L20" i="5"/>
  <c r="Q22" i="5"/>
  <c r="P22" i="5"/>
  <c r="U29" i="5"/>
  <c r="V29" i="5"/>
  <c r="C95" i="2"/>
  <c r="D94" i="2"/>
  <c r="G29" i="5" s="1"/>
  <c r="M21" i="5" l="1"/>
  <c r="L21" i="5"/>
  <c r="Q23" i="5"/>
  <c r="P23" i="5"/>
  <c r="U30" i="5"/>
  <c r="V30" i="5"/>
  <c r="C96" i="2"/>
  <c r="D95" i="2"/>
  <c r="G30" i="5" s="1"/>
  <c r="L22" i="5" l="1"/>
  <c r="M22" i="5"/>
  <c r="Q24" i="5"/>
  <c r="P24" i="5"/>
  <c r="V31" i="5"/>
  <c r="U31" i="5"/>
  <c r="C97" i="2"/>
  <c r="D96" i="2"/>
  <c r="G31" i="5" s="1"/>
  <c r="M23" i="5" l="1"/>
  <c r="L23" i="5"/>
  <c r="V32" i="5"/>
  <c r="U32" i="5"/>
  <c r="P25" i="5"/>
  <c r="Q25" i="5"/>
  <c r="D97" i="2"/>
  <c r="G32" i="5" s="1"/>
  <c r="C98" i="2"/>
  <c r="L24" i="5" l="1"/>
  <c r="M24" i="5"/>
  <c r="V33" i="5"/>
  <c r="U33" i="5"/>
  <c r="P26" i="5"/>
  <c r="Q26" i="5"/>
  <c r="C99" i="2"/>
  <c r="D98" i="2"/>
  <c r="G33" i="5" s="1"/>
  <c r="L25" i="5" l="1"/>
  <c r="M25" i="5"/>
  <c r="P27" i="5"/>
  <c r="Q27" i="5"/>
  <c r="U34" i="5"/>
  <c r="V34" i="5"/>
  <c r="C100" i="2"/>
  <c r="D99" i="2"/>
  <c r="G34" i="5" s="1"/>
  <c r="M26" i="5" l="1"/>
  <c r="L26" i="5"/>
  <c r="U35" i="5"/>
  <c r="V35" i="5"/>
  <c r="P28" i="5"/>
  <c r="Q28" i="5"/>
  <c r="C101" i="2"/>
  <c r="D100" i="2"/>
  <c r="G35" i="5" s="1"/>
  <c r="L27" i="5" l="1"/>
  <c r="M27" i="5"/>
  <c r="V36" i="5"/>
  <c r="U36" i="5"/>
  <c r="Q29" i="5"/>
  <c r="P29" i="5"/>
  <c r="C102" i="2"/>
  <c r="D101" i="2"/>
  <c r="G36" i="5" s="1"/>
  <c r="M28" i="5" l="1"/>
  <c r="L28" i="5"/>
  <c r="P30" i="5"/>
  <c r="Q30" i="5"/>
  <c r="U37" i="5"/>
  <c r="V37" i="5"/>
  <c r="C103" i="2"/>
  <c r="D102" i="2"/>
  <c r="G37" i="5" s="1"/>
  <c r="M29" i="5" l="1"/>
  <c r="L29" i="5"/>
  <c r="Q31" i="5"/>
  <c r="P31" i="5"/>
  <c r="V38" i="5"/>
  <c r="U38" i="5"/>
  <c r="C104" i="2"/>
  <c r="D103" i="2"/>
  <c r="G38" i="5" s="1"/>
  <c r="L30" i="5" l="1"/>
  <c r="M30" i="5"/>
  <c r="U39" i="5"/>
  <c r="V39" i="5"/>
  <c r="P32" i="5"/>
  <c r="Q32" i="5"/>
  <c r="C105" i="2"/>
  <c r="D104" i="2"/>
  <c r="G39" i="5" s="1"/>
  <c r="L31" i="5" l="1"/>
  <c r="M31" i="5"/>
  <c r="P33" i="5"/>
  <c r="Q33" i="5"/>
  <c r="U40" i="5"/>
  <c r="V40" i="5"/>
  <c r="C106" i="2"/>
  <c r="D105" i="2"/>
  <c r="G40" i="5" l="1"/>
  <c r="G44" i="5"/>
  <c r="M32" i="5"/>
  <c r="L32" i="5"/>
  <c r="V41" i="5"/>
  <c r="U41" i="5"/>
  <c r="Q34" i="5"/>
  <c r="P34" i="5"/>
  <c r="D106" i="2"/>
  <c r="C107" i="2"/>
  <c r="G41" i="5" l="1"/>
  <c r="G45" i="5"/>
  <c r="M33" i="5"/>
  <c r="L33" i="5"/>
  <c r="U42" i="5"/>
  <c r="V42" i="5"/>
  <c r="Q35" i="5"/>
  <c r="P35" i="5"/>
  <c r="C108" i="2"/>
  <c r="D107" i="2"/>
  <c r="G42" i="5" s="1"/>
  <c r="L34" i="5" l="1"/>
  <c r="M34" i="5"/>
  <c r="P36" i="5"/>
  <c r="Q36" i="5"/>
  <c r="U43" i="5"/>
  <c r="V43" i="5"/>
  <c r="C109" i="2"/>
  <c r="D108" i="2"/>
  <c r="G43" i="5" s="1"/>
  <c r="M35" i="5" l="1"/>
  <c r="L35" i="5"/>
  <c r="V44" i="5"/>
  <c r="U44" i="5"/>
  <c r="P37" i="5"/>
  <c r="Q37" i="5"/>
  <c r="C110" i="2"/>
  <c r="D109" i="2"/>
  <c r="L36" i="5" l="1"/>
  <c r="M36" i="5"/>
  <c r="U45" i="5"/>
  <c r="V45" i="5"/>
  <c r="Q38" i="5"/>
  <c r="P38" i="5"/>
  <c r="D110" i="2"/>
  <c r="C111" i="2"/>
  <c r="M37" i="5" l="1"/>
  <c r="L37" i="5"/>
  <c r="Q39" i="5"/>
  <c r="P39" i="5"/>
  <c r="U46" i="5"/>
  <c r="V46" i="5"/>
  <c r="C112" i="2"/>
  <c r="D111" i="2"/>
  <c r="G46" i="5" s="1"/>
  <c r="M38" i="5" l="1"/>
  <c r="L38" i="5"/>
  <c r="Q40" i="5"/>
  <c r="P40" i="5"/>
  <c r="U47" i="5"/>
  <c r="V47" i="5"/>
  <c r="C113" i="2"/>
  <c r="D112" i="2"/>
  <c r="G47" i="5" s="1"/>
  <c r="L39" i="5" l="1"/>
  <c r="M39" i="5"/>
  <c r="V48" i="5"/>
  <c r="U48" i="5"/>
  <c r="Q41" i="5"/>
  <c r="P41" i="5"/>
  <c r="C114" i="2"/>
  <c r="D113" i="2"/>
  <c r="G48" i="5" s="1"/>
  <c r="L40" i="5" l="1"/>
  <c r="M40" i="5"/>
  <c r="Q42" i="5"/>
  <c r="P42" i="5"/>
  <c r="U49" i="5"/>
  <c r="V49" i="5"/>
  <c r="D114" i="2"/>
  <c r="G49" i="5" s="1"/>
  <c r="C115" i="2"/>
  <c r="L41" i="5" l="1"/>
  <c r="M41" i="5"/>
  <c r="V50" i="5"/>
  <c r="U50" i="5"/>
  <c r="Q43" i="5"/>
  <c r="P43" i="5"/>
  <c r="C116" i="2"/>
  <c r="D115" i="2"/>
  <c r="G50" i="5" s="1"/>
  <c r="M42" i="5" l="1"/>
  <c r="L42" i="5"/>
  <c r="P44" i="5"/>
  <c r="Q44" i="5"/>
  <c r="V51" i="5"/>
  <c r="U51" i="5"/>
  <c r="V52" i="5" s="1"/>
  <c r="D116" i="2"/>
  <c r="G51" i="5" s="1"/>
  <c r="C117" i="2"/>
  <c r="Z79" i="5" l="1"/>
  <c r="X51" i="5"/>
  <c r="Z75" i="5"/>
  <c r="AA75" i="5" s="1"/>
  <c r="L43" i="5"/>
  <c r="M43" i="5"/>
  <c r="P45" i="5"/>
  <c r="Q45" i="5"/>
  <c r="U52" i="5"/>
  <c r="U53" i="5" s="1"/>
  <c r="U54" i="5" s="1"/>
  <c r="U55" i="5" s="1"/>
  <c r="U56" i="5" s="1"/>
  <c r="U57" i="5" s="1"/>
  <c r="X52" i="5"/>
  <c r="D117" i="2"/>
  <c r="G52" i="5" s="1"/>
  <c r="C118" i="2"/>
  <c r="AA79" i="5" l="1"/>
  <c r="Z78" i="5"/>
  <c r="AA78" i="5" s="1"/>
  <c r="Z77" i="5"/>
  <c r="AA77" i="5" s="1"/>
  <c r="Z76" i="5"/>
  <c r="M44" i="5"/>
  <c r="L44" i="5"/>
  <c r="V56" i="5"/>
  <c r="X56" i="5" s="1"/>
  <c r="V57" i="5"/>
  <c r="X57" i="5" s="1"/>
  <c r="V54" i="5"/>
  <c r="X54" i="5" s="1"/>
  <c r="V53" i="5"/>
  <c r="X53" i="5" s="1"/>
  <c r="V55" i="5"/>
  <c r="X55" i="5" s="1"/>
  <c r="R45" i="5"/>
  <c r="P26" i="12"/>
  <c r="Q46" i="5"/>
  <c r="R46" i="5" s="1"/>
  <c r="P46" i="5"/>
  <c r="D118" i="2"/>
  <c r="G53" i="5" s="1"/>
  <c r="C119" i="2"/>
  <c r="AA76" i="5" l="1"/>
  <c r="Z81" i="5"/>
  <c r="T61" i="5"/>
  <c r="F165" i="7" s="1"/>
  <c r="M45" i="5"/>
  <c r="L45" i="5"/>
  <c r="Q47" i="5"/>
  <c r="P47" i="5"/>
  <c r="C120" i="2"/>
  <c r="D119" i="2"/>
  <c r="G54" i="5" s="1"/>
  <c r="F203" i="7" l="1"/>
  <c r="G197" i="7"/>
  <c r="G155" i="7"/>
  <c r="G172" i="7"/>
  <c r="G149" i="7"/>
  <c r="F204" i="7"/>
  <c r="G180" i="7"/>
  <c r="F163" i="7"/>
  <c r="F192" i="7"/>
  <c r="G168" i="7"/>
  <c r="G221" i="7"/>
  <c r="F218" i="7"/>
  <c r="G194" i="7"/>
  <c r="F221" i="7"/>
  <c r="G161" i="7"/>
  <c r="G215" i="7"/>
  <c r="F157" i="7"/>
  <c r="F160" i="7"/>
  <c r="F214" i="7"/>
  <c r="F154" i="7"/>
  <c r="F211" i="7"/>
  <c r="F156" i="7"/>
  <c r="F208" i="7"/>
  <c r="G185" i="7"/>
  <c r="F179" i="7"/>
  <c r="F187" i="7"/>
  <c r="F210" i="7"/>
  <c r="G188" i="7"/>
  <c r="F196" i="7"/>
  <c r="G183" i="7"/>
  <c r="F172" i="7"/>
  <c r="F173" i="7"/>
  <c r="G158" i="7"/>
  <c r="G226" i="7"/>
  <c r="F215" i="7"/>
  <c r="G222" i="7"/>
  <c r="G203" i="7"/>
  <c r="F164" i="7"/>
  <c r="F207" i="7"/>
  <c r="F226" i="7"/>
  <c r="F186" i="7"/>
  <c r="F174" i="7"/>
  <c r="G162" i="7"/>
  <c r="G187" i="7"/>
  <c r="F199" i="7"/>
  <c r="G189" i="7"/>
  <c r="G224" i="7"/>
  <c r="F177" i="7"/>
  <c r="F223" i="7"/>
  <c r="G176" i="7"/>
  <c r="G142" i="7"/>
  <c r="G213" i="7"/>
  <c r="G144" i="7"/>
  <c r="G230" i="7"/>
  <c r="F151" i="7"/>
  <c r="G228" i="7"/>
  <c r="G156" i="7"/>
  <c r="G210" i="7"/>
  <c r="F183" i="7"/>
  <c r="F168" i="7"/>
  <c r="F216" i="7"/>
  <c r="F205" i="7"/>
  <c r="G229" i="7"/>
  <c r="F228" i="7"/>
  <c r="G205" i="7"/>
  <c r="G147" i="7"/>
  <c r="G167" i="7"/>
  <c r="G191" i="7"/>
  <c r="G199" i="7"/>
  <c r="G166" i="7"/>
  <c r="G204" i="7"/>
  <c r="F224" i="7"/>
  <c r="G192" i="7"/>
  <c r="G186" i="7"/>
  <c r="F213" i="7"/>
  <c r="G148" i="7"/>
  <c r="G211" i="7"/>
  <c r="F155" i="7"/>
  <c r="F166" i="7"/>
  <c r="G208" i="7"/>
  <c r="F169" i="7"/>
  <c r="G146" i="7"/>
  <c r="G177" i="7"/>
  <c r="G223" i="7"/>
  <c r="F147" i="7"/>
  <c r="G220" i="7"/>
  <c r="G201" i="7"/>
  <c r="F201" i="7"/>
  <c r="G175" i="7"/>
  <c r="F227" i="7"/>
  <c r="G216" i="7"/>
  <c r="G207" i="7"/>
  <c r="F185" i="7"/>
  <c r="G145" i="7"/>
  <c r="F206" i="7"/>
  <c r="F197" i="7"/>
  <c r="G218" i="7"/>
  <c r="G196" i="7"/>
  <c r="G212" i="7"/>
  <c r="F202" i="7"/>
  <c r="G206" i="7"/>
  <c r="F182" i="7"/>
  <c r="G160" i="7"/>
  <c r="F161" i="7"/>
  <c r="F180" i="7"/>
  <c r="F212" i="7"/>
  <c r="F148" i="7"/>
  <c r="F217" i="7"/>
  <c r="F162" i="7"/>
  <c r="F230" i="7"/>
  <c r="F194" i="7"/>
  <c r="F225" i="7"/>
  <c r="F158" i="7"/>
  <c r="G217" i="7"/>
  <c r="F195" i="7"/>
  <c r="F209" i="7"/>
  <c r="F190" i="7"/>
  <c r="G159" i="7"/>
  <c r="G178" i="7"/>
  <c r="G195" i="7"/>
  <c r="G227" i="7"/>
  <c r="G219" i="7"/>
  <c r="G154" i="7"/>
  <c r="F150" i="7"/>
  <c r="F178" i="7"/>
  <c r="G164" i="7"/>
  <c r="G152" i="7"/>
  <c r="G182" i="7"/>
  <c r="G198" i="7"/>
  <c r="F222" i="7"/>
  <c r="F181" i="7"/>
  <c r="G209" i="7"/>
  <c r="F175" i="7"/>
  <c r="G171" i="7"/>
  <c r="G184" i="7"/>
  <c r="G214" i="7"/>
  <c r="F219" i="7"/>
  <c r="G173" i="7"/>
  <c r="F188" i="7"/>
  <c r="F153" i="7"/>
  <c r="G200" i="7"/>
  <c r="G163" i="7"/>
  <c r="F152" i="7"/>
  <c r="G153" i="7"/>
  <c r="G150" i="7"/>
  <c r="G225" i="7"/>
  <c r="G165" i="7"/>
  <c r="F170" i="7"/>
  <c r="F193" i="7"/>
  <c r="F146" i="7"/>
  <c r="F184" i="7"/>
  <c r="G170" i="7"/>
  <c r="F149" i="7"/>
  <c r="F145" i="7"/>
  <c r="G181" i="7"/>
  <c r="F191" i="7"/>
  <c r="F198" i="7"/>
  <c r="F167" i="7"/>
  <c r="F171" i="7"/>
  <c r="F229" i="7"/>
  <c r="G169" i="7"/>
  <c r="G190" i="7"/>
  <c r="G151" i="7"/>
  <c r="F176" i="7"/>
  <c r="G179" i="7"/>
  <c r="G193" i="7"/>
  <c r="F159" i="7"/>
  <c r="G174" i="7"/>
  <c r="G143" i="7"/>
  <c r="G157" i="7"/>
  <c r="F200" i="7"/>
  <c r="F189" i="7"/>
  <c r="G202" i="7"/>
  <c r="F220" i="7"/>
  <c r="AA81" i="5"/>
  <c r="E57" i="1"/>
  <c r="O45" i="5"/>
  <c r="G57" i="1" s="1"/>
  <c r="L46" i="5"/>
  <c r="M46" i="5"/>
  <c r="Q48" i="5"/>
  <c r="R48" i="5" s="1"/>
  <c r="P48" i="5"/>
  <c r="P25" i="12"/>
  <c r="R47" i="5"/>
  <c r="D120" i="2"/>
  <c r="G55" i="5" s="1"/>
  <c r="C121" i="2"/>
  <c r="E58" i="1" l="1"/>
  <c r="D26" i="25" s="1"/>
  <c r="O46" i="5"/>
  <c r="G58" i="1" s="1"/>
  <c r="H57" i="1"/>
  <c r="J25" i="25" s="1"/>
  <c r="J26" i="12"/>
  <c r="G26" i="12" s="1"/>
  <c r="G25" i="25"/>
  <c r="D26" i="12"/>
  <c r="C26" i="12" s="1"/>
  <c r="D25" i="25"/>
  <c r="M47" i="5"/>
  <c r="L47" i="5"/>
  <c r="P49" i="5"/>
  <c r="Q49" i="5"/>
  <c r="R49" i="5" s="1"/>
  <c r="D121" i="2"/>
  <c r="G56" i="5" s="1"/>
  <c r="C122" i="2"/>
  <c r="G26" i="25" l="1"/>
  <c r="H58" i="1"/>
  <c r="J26" i="25" s="1"/>
  <c r="E59" i="1"/>
  <c r="O47" i="5"/>
  <c r="G59" i="1" s="1"/>
  <c r="M48" i="5"/>
  <c r="L48" i="5"/>
  <c r="P50" i="5"/>
  <c r="Q50" i="5"/>
  <c r="D122" i="2"/>
  <c r="G57" i="5" s="1"/>
  <c r="C123" i="2"/>
  <c r="D25" i="12" l="1"/>
  <c r="C25" i="12" s="1"/>
  <c r="D27" i="25"/>
  <c r="J25" i="12"/>
  <c r="G25" i="12" s="1"/>
  <c r="H59" i="1"/>
  <c r="J27" i="25" s="1"/>
  <c r="G27" i="25"/>
  <c r="E60" i="1"/>
  <c r="D28" i="25" s="1"/>
  <c r="O48" i="5"/>
  <c r="G60" i="1" s="1"/>
  <c r="M49" i="5"/>
  <c r="L49" i="5"/>
  <c r="R50" i="5"/>
  <c r="P24" i="12"/>
  <c r="Q51" i="5"/>
  <c r="AC75" i="5" s="1"/>
  <c r="AC76" i="5" s="1"/>
  <c r="AC77" i="5" s="1"/>
  <c r="AC78" i="5" s="1"/>
  <c r="P51" i="5"/>
  <c r="C124" i="2"/>
  <c r="D123" i="2"/>
  <c r="R51" i="5" l="1"/>
  <c r="E61" i="1"/>
  <c r="D29" i="25" s="1"/>
  <c r="O49" i="5"/>
  <c r="G61" i="1" s="1"/>
  <c r="H60" i="1"/>
  <c r="J28" i="25" s="1"/>
  <c r="G28" i="25"/>
  <c r="M50" i="5"/>
  <c r="L50" i="5"/>
  <c r="P52" i="5"/>
  <c r="Q52" i="5"/>
  <c r="C125" i="2"/>
  <c r="D124" i="2"/>
  <c r="AC79" i="5" l="1"/>
  <c r="AE79" i="5" s="1"/>
  <c r="AE75" i="5"/>
  <c r="H61" i="1"/>
  <c r="J29" i="25" s="1"/>
  <c r="G29" i="25"/>
  <c r="E62" i="1"/>
  <c r="D30" i="25" s="1"/>
  <c r="O50" i="5"/>
  <c r="G62" i="1" s="1"/>
  <c r="L51" i="5"/>
  <c r="M51" i="5"/>
  <c r="T75" i="5" s="1"/>
  <c r="R52" i="5"/>
  <c r="Q53" i="5"/>
  <c r="R53" i="5" s="1"/>
  <c r="P53" i="5"/>
  <c r="D125" i="2"/>
  <c r="C126" i="2"/>
  <c r="AE76" i="5" l="1"/>
  <c r="T78" i="5"/>
  <c r="U78" i="5" s="1"/>
  <c r="AB78" i="5" s="1"/>
  <c r="T77" i="5"/>
  <c r="U77" i="5" s="1"/>
  <c r="AB77" i="5" s="1"/>
  <c r="T76" i="5"/>
  <c r="U75" i="5"/>
  <c r="AB75" i="5" s="1"/>
  <c r="D24" i="12"/>
  <c r="C24" i="12" s="1"/>
  <c r="G30" i="25"/>
  <c r="H62" i="1"/>
  <c r="J30" i="25" s="1"/>
  <c r="J24" i="12"/>
  <c r="G24" i="12" s="1"/>
  <c r="E63" i="1"/>
  <c r="D31" i="25" s="1"/>
  <c r="O51" i="5"/>
  <c r="Y51" i="5" s="1"/>
  <c r="M52" i="5"/>
  <c r="T79" i="5" s="1"/>
  <c r="L52" i="5"/>
  <c r="Q54" i="5"/>
  <c r="R54" i="5" s="1"/>
  <c r="P54" i="5"/>
  <c r="C127" i="2"/>
  <c r="D126" i="2"/>
  <c r="U79" i="5" l="1"/>
  <c r="AB79" i="5" s="1"/>
  <c r="U76" i="5"/>
  <c r="T81" i="5"/>
  <c r="E64" i="1" s="1"/>
  <c r="AE77" i="5"/>
  <c r="O52" i="5"/>
  <c r="Y52" i="5" s="1"/>
  <c r="F63" i="1"/>
  <c r="G63" i="1"/>
  <c r="L53" i="5"/>
  <c r="M53" i="5"/>
  <c r="P55" i="5"/>
  <c r="Q55" i="5"/>
  <c r="R55" i="5" s="1"/>
  <c r="D127" i="2"/>
  <c r="C128" i="2"/>
  <c r="D23" i="12" l="1"/>
  <c r="AE78" i="5"/>
  <c r="AE81" i="5" s="1"/>
  <c r="AC81" i="5"/>
  <c r="P23" i="12"/>
  <c r="C23" i="12" s="1"/>
  <c r="U81" i="5"/>
  <c r="AB76" i="5"/>
  <c r="AB81" i="5" s="1"/>
  <c r="G31" i="25"/>
  <c r="H63" i="1"/>
  <c r="J31" i="25" s="1"/>
  <c r="B22" i="27"/>
  <c r="J22" i="27" s="1"/>
  <c r="E65" i="1"/>
  <c r="D33" i="25" s="1"/>
  <c r="O53" i="5"/>
  <c r="Y53" i="5" s="1"/>
  <c r="D32" i="25"/>
  <c r="M54" i="5"/>
  <c r="L54" i="5"/>
  <c r="P56" i="5"/>
  <c r="Q56" i="5"/>
  <c r="R56" i="5" s="1"/>
  <c r="D128" i="2"/>
  <c r="C129" i="2"/>
  <c r="G64" i="1" l="1"/>
  <c r="J23" i="12" s="1"/>
  <c r="G23" i="12" s="1"/>
  <c r="J30" i="27"/>
  <c r="J26" i="27"/>
  <c r="J29" i="27"/>
  <c r="J32" i="27" s="1"/>
  <c r="J36" i="27"/>
  <c r="J37" i="27" s="1"/>
  <c r="F65" i="1"/>
  <c r="G65" i="1"/>
  <c r="G32" i="25"/>
  <c r="H64" i="1"/>
  <c r="J32" i="25" s="1"/>
  <c r="E66" i="1"/>
  <c r="D34" i="25" s="1"/>
  <c r="O54" i="5"/>
  <c r="Y54" i="5" s="1"/>
  <c r="L55" i="5"/>
  <c r="M55" i="5"/>
  <c r="P57" i="5"/>
  <c r="Q57" i="5"/>
  <c r="R57" i="5" s="1"/>
  <c r="C130" i="2"/>
  <c r="D129" i="2"/>
  <c r="J63" i="1" l="1"/>
  <c r="E177" i="7" s="1"/>
  <c r="J38" i="27"/>
  <c r="J33" i="27"/>
  <c r="J34" i="27" s="1"/>
  <c r="G33" i="25"/>
  <c r="H65" i="1"/>
  <c r="J33" i="25" s="1"/>
  <c r="G66" i="1"/>
  <c r="F66" i="1"/>
  <c r="E67" i="1"/>
  <c r="D35" i="25" s="1"/>
  <c r="O55" i="5"/>
  <c r="Y55" i="5" s="1"/>
  <c r="E179" i="7"/>
  <c r="E151" i="7"/>
  <c r="E208" i="7"/>
  <c r="E191" i="7"/>
  <c r="E216" i="7"/>
  <c r="E154" i="7"/>
  <c r="E173" i="7"/>
  <c r="E146" i="7"/>
  <c r="E172" i="7"/>
  <c r="E183" i="7"/>
  <c r="E158" i="7"/>
  <c r="E150" i="7"/>
  <c r="E222" i="7"/>
  <c r="E176" i="7"/>
  <c r="E201" i="7"/>
  <c r="E202" i="7"/>
  <c r="E164" i="7"/>
  <c r="E156" i="7"/>
  <c r="E197" i="7"/>
  <c r="E220" i="7"/>
  <c r="E143" i="7"/>
  <c r="E218" i="7"/>
  <c r="E223" i="7"/>
  <c r="E193" i="7"/>
  <c r="E159" i="7"/>
  <c r="E211" i="7"/>
  <c r="E166" i="7"/>
  <c r="E209" i="7"/>
  <c r="E170" i="7"/>
  <c r="E207" i="7"/>
  <c r="E196" i="7"/>
  <c r="E149" i="7"/>
  <c r="E163" i="7"/>
  <c r="E192" i="7"/>
  <c r="E190" i="7"/>
  <c r="E168" i="7"/>
  <c r="E161" i="7"/>
  <c r="E219" i="7"/>
  <c r="E180" i="7"/>
  <c r="E157" i="7"/>
  <c r="E167" i="7"/>
  <c r="E213" i="7"/>
  <c r="E226" i="7"/>
  <c r="E175" i="7"/>
  <c r="E228" i="7"/>
  <c r="G141" i="7"/>
  <c r="E206" i="7"/>
  <c r="L56" i="5"/>
  <c r="M56" i="5"/>
  <c r="D130" i="2"/>
  <c r="C131" i="2"/>
  <c r="E152" i="7" l="1"/>
  <c r="E185" i="7"/>
  <c r="E210" i="7"/>
  <c r="E174" i="7"/>
  <c r="E204" i="7"/>
  <c r="E144" i="7"/>
  <c r="E186" i="7"/>
  <c r="F142" i="7"/>
  <c r="E162" i="7"/>
  <c r="E148" i="7"/>
  <c r="E142" i="7"/>
  <c r="E200" i="7"/>
  <c r="E224" i="7"/>
  <c r="E227" i="7"/>
  <c r="E194" i="7"/>
  <c r="E198" i="7"/>
  <c r="E147" i="7"/>
  <c r="E212" i="7"/>
  <c r="E165" i="7"/>
  <c r="E160" i="7"/>
  <c r="E215" i="7"/>
  <c r="E225" i="7"/>
  <c r="E141" i="7"/>
  <c r="E189" i="7"/>
  <c r="E214" i="7"/>
  <c r="E155" i="7"/>
  <c r="E171" i="7"/>
  <c r="E199" i="7"/>
  <c r="F144" i="7"/>
  <c r="E182" i="7"/>
  <c r="E178" i="7"/>
  <c r="E217" i="7"/>
  <c r="E203" i="7"/>
  <c r="E205" i="7"/>
  <c r="E229" i="7"/>
  <c r="E230" i="7"/>
  <c r="E145" i="7"/>
  <c r="E184" i="7"/>
  <c r="F141" i="7"/>
  <c r="E181" i="7"/>
  <c r="E187" i="7"/>
  <c r="E153" i="7"/>
  <c r="F143" i="7"/>
  <c r="E221" i="7"/>
  <c r="E169" i="7"/>
  <c r="E195" i="7"/>
  <c r="E188" i="7"/>
  <c r="J27" i="12"/>
  <c r="J39" i="27"/>
  <c r="H66" i="1"/>
  <c r="J34" i="25" s="1"/>
  <c r="G34" i="25"/>
  <c r="F67" i="1"/>
  <c r="G67" i="1"/>
  <c r="E68" i="1"/>
  <c r="D36" i="25" s="1"/>
  <c r="O56" i="5"/>
  <c r="Y56" i="5" s="1"/>
  <c r="M57" i="5"/>
  <c r="L57" i="5"/>
  <c r="C132" i="2"/>
  <c r="D131" i="2"/>
  <c r="J40" i="27" l="1"/>
  <c r="J42" i="27" s="1"/>
  <c r="J45" i="27" s="1"/>
  <c r="E69" i="1"/>
  <c r="D37" i="25" s="1"/>
  <c r="O57" i="5"/>
  <c r="Y57" i="5" s="1"/>
  <c r="Y58" i="5" s="1"/>
  <c r="G35" i="25"/>
  <c r="H67" i="1"/>
  <c r="J35" i="25" s="1"/>
  <c r="G68" i="1"/>
  <c r="F68" i="1"/>
  <c r="C133" i="2"/>
  <c r="D132" i="2"/>
  <c r="P20" i="27" l="1"/>
  <c r="P21" i="27" s="1"/>
  <c r="P22" i="27" s="1"/>
  <c r="P23" i="27" s="1"/>
  <c r="P24" i="27" s="1"/>
  <c r="P25" i="27" s="1"/>
  <c r="P26" i="27" s="1"/>
  <c r="P27" i="27" s="1"/>
  <c r="P28" i="27" s="1"/>
  <c r="P29" i="27" s="1"/>
  <c r="P30" i="27" s="1"/>
  <c r="P31" i="27" s="1"/>
  <c r="P32" i="27" s="1"/>
  <c r="P33" i="27" s="1"/>
  <c r="P34" i="27" s="1"/>
  <c r="P35" i="27" s="1"/>
  <c r="P36" i="27" s="1"/>
  <c r="P37" i="27" s="1"/>
  <c r="P38" i="27" s="1"/>
  <c r="P39" i="27" s="1"/>
  <c r="P40" i="27" s="1"/>
  <c r="P41" i="27" s="1"/>
  <c r="P42" i="27" s="1"/>
  <c r="P43" i="27" s="1"/>
  <c r="P44" i="27" s="1"/>
  <c r="P45" i="27" s="1"/>
  <c r="P46" i="27" s="1"/>
  <c r="P47" i="27" s="1"/>
  <c r="P48" i="27" s="1"/>
  <c r="P49" i="27" s="1"/>
  <c r="P50" i="27" s="1"/>
  <c r="P51" i="27" s="1"/>
  <c r="P52" i="27" s="1"/>
  <c r="P53" i="27" s="1"/>
  <c r="P54" i="27" s="1"/>
  <c r="P55" i="27" s="1"/>
  <c r="P56" i="27" s="1"/>
  <c r="P57" i="27" s="1"/>
  <c r="P58" i="27" s="1"/>
  <c r="P59" i="27" s="1"/>
  <c r="P60" i="27" s="1"/>
  <c r="G36" i="25"/>
  <c r="H68" i="1"/>
  <c r="J36" i="25" s="1"/>
  <c r="G69" i="1"/>
  <c r="F69" i="1"/>
  <c r="B39" i="25"/>
  <c r="F56" i="1"/>
  <c r="D133" i="2"/>
  <c r="C134" i="2"/>
  <c r="H69" i="1" l="1"/>
  <c r="J37" i="25" s="1"/>
  <c r="G37" i="25"/>
  <c r="D134" i="2"/>
  <c r="C135" i="2"/>
  <c r="D135" i="2" l="1"/>
  <c r="C136" i="2"/>
  <c r="D136" i="2" l="1"/>
  <c r="C137" i="2"/>
  <c r="C138" i="2" l="1"/>
  <c r="D137" i="2"/>
  <c r="D138" i="2" l="1"/>
  <c r="C139" i="2"/>
  <c r="C140" i="2" l="1"/>
  <c r="D139" i="2"/>
  <c r="C141" i="2" l="1"/>
  <c r="D140" i="2"/>
  <c r="D141" i="2" l="1"/>
  <c r="C142" i="2"/>
  <c r="D142" i="2" l="1"/>
  <c r="C143" i="2"/>
  <c r="C144" i="2" l="1"/>
  <c r="D143" i="2"/>
  <c r="D144" i="2" l="1"/>
  <c r="C145" i="2"/>
  <c r="C146" i="2" l="1"/>
  <c r="D145" i="2"/>
  <c r="D146" i="2" l="1"/>
  <c r="C147" i="2"/>
  <c r="D147" i="2" l="1"/>
  <c r="C148" i="2"/>
  <c r="C149" i="2" l="1"/>
  <c r="D148" i="2"/>
  <c r="D149" i="2" l="1"/>
  <c r="C150" i="2"/>
  <c r="C151" i="2" l="1"/>
  <c r="D150" i="2"/>
  <c r="D151" i="2" l="1"/>
  <c r="C152" i="2"/>
  <c r="D152" i="2" l="1"/>
  <c r="C153" i="2"/>
  <c r="D153" i="2" l="1"/>
  <c r="C154" i="2"/>
  <c r="D154" i="2" l="1"/>
  <c r="C155" i="2"/>
  <c r="C156" i="2" l="1"/>
  <c r="D155" i="2"/>
  <c r="D156" i="2" l="1"/>
  <c r="C157" i="2"/>
  <c r="C158" i="2" l="1"/>
  <c r="D157" i="2"/>
  <c r="D158" i="2" l="1"/>
  <c r="C159" i="2"/>
  <c r="D159" i="2" l="1"/>
  <c r="C160" i="2"/>
  <c r="D160" i="2" l="1"/>
  <c r="C161" i="2"/>
  <c r="D161" i="2" l="1"/>
  <c r="C162" i="2"/>
  <c r="D162" i="2" l="1"/>
  <c r="C163" i="2"/>
  <c r="D163" i="2" s="1"/>
</calcChain>
</file>

<file path=xl/comments1.xml><?xml version="1.0" encoding="utf-8"?>
<comments xmlns="http://schemas.openxmlformats.org/spreadsheetml/2006/main">
  <authors>
    <author>Andreas Frei</author>
  </authors>
  <commentList>
    <comment ref="J11" authorId="0" shapeId="0">
      <text>
        <r>
          <rPr>
            <b/>
            <sz val="9"/>
            <color indexed="81"/>
            <rFont val="Segoe UI"/>
            <family val="2"/>
          </rPr>
          <t>Andreas Frei:</t>
        </r>
        <r>
          <rPr>
            <sz val="9"/>
            <color indexed="81"/>
            <rFont val="Segoe UI"/>
            <family val="2"/>
          </rPr>
          <t xml:space="preserve">
manuell festlegen!</t>
        </r>
      </text>
    </comment>
  </commentList>
</comments>
</file>

<file path=xl/sharedStrings.xml><?xml version="1.0" encoding="utf-8"?>
<sst xmlns="http://schemas.openxmlformats.org/spreadsheetml/2006/main" count="5995" uniqueCount="3985">
  <si>
    <t>720  /  R2+TK%  /  Bb_Plan  /  A2  /  ZS1</t>
  </si>
  <si>
    <t>22102105</t>
  </si>
  <si>
    <t>720  /  R2+TK%  /  Bb_Plan  /  A2  /  ZS1  /  UWS50</t>
  </si>
  <si>
    <t>22112101</t>
  </si>
  <si>
    <t>22112105</t>
  </si>
  <si>
    <t>22202101</t>
  </si>
  <si>
    <t>720  /  R2+TK2_RW  /  Bb_Plan  /  A2  /  ZS1</t>
  </si>
  <si>
    <t>22202105</t>
  </si>
  <si>
    <t>720  /  R2+TK2_RW  /  Bb_Plan  /  A2  /  ZS1  /  UWS50</t>
  </si>
  <si>
    <t>22212101</t>
  </si>
  <si>
    <t>22212105</t>
  </si>
  <si>
    <t>50002101</t>
  </si>
  <si>
    <t>Plan ab AHV-Alter  /  A2  /  ZS1</t>
  </si>
  <si>
    <t>50002105</t>
  </si>
  <si>
    <t>SE 50+ Plan ab AHV-Alter  /  A2  /  ZS1</t>
  </si>
  <si>
    <t>11002201</t>
  </si>
  <si>
    <t>360  /  R1  /  Bb_Plan  /  A2  /  ZS2</t>
  </si>
  <si>
    <t>11002205</t>
  </si>
  <si>
    <t>360  /  R1  /  Bb_Plan  /  A2  /  ZS2  /  UWS50</t>
  </si>
  <si>
    <t>11012201</t>
  </si>
  <si>
    <t>11012205</t>
  </si>
  <si>
    <t>11102201</t>
  </si>
  <si>
    <t>360  /  R1+TK%  /  Bb_Plan  /  A2  /  ZS2</t>
  </si>
  <si>
    <t>11102205</t>
  </si>
  <si>
    <t>Besteht bereits eine BVG-Versicherung, welche weitergeführt wird?</t>
  </si>
  <si>
    <t>Wenn ja:</t>
  </si>
  <si>
    <t>i)</t>
  </si>
  <si>
    <t>Beschäftigen Sie Personal?</t>
  </si>
  <si>
    <t>j)</t>
  </si>
  <si>
    <t>Sind Sie für Ihr Personal einer Vorsorgeeinrichtung angeschlossen?</t>
  </si>
  <si>
    <t>Wenn ja: Name der Vorsorgeeinrichtung</t>
  </si>
  <si>
    <t>a)</t>
  </si>
  <si>
    <t>.........................................................................................</t>
  </si>
  <si>
    <t>b)</t>
  </si>
  <si>
    <t>Versicherungsbeginn (nur auf Anfang eines Monats möglich)</t>
  </si>
  <si>
    <t>Bei welcher Vorsorgeeinrichtung?   .................................................................................................................................</t>
  </si>
  <si>
    <t>Wenn nein: Wann endete die letzte Anstellung?   ............................................................................................................</t>
  </si>
  <si>
    <t>c)</t>
  </si>
  <si>
    <t>Zu versichernder Jahreslohn</t>
  </si>
  <si>
    <t>d)</t>
  </si>
  <si>
    <t>Seit wann sind Sie selbständigerwerbend?</t>
  </si>
  <si>
    <t>Sind Sie voll arbeits- bzw. erwerbsfähig?</t>
  </si>
  <si>
    <t>Beziehen Sie eine Invalidenrente (infolge Krankheit oder Unfall)?</t>
  </si>
  <si>
    <t>Bestand bei der bisherigen Vorsorgeeinrichtung aus gesundheitlichen Gründen
ein Vorbehalt oder wurden andere Personenversicherungsanträge abgelehnt?</t>
  </si>
  <si>
    <t>Sind Sie gegenwärtig vollständig gesund?</t>
  </si>
  <si>
    <t>Haben Sie Ihre Arbeit in den letzten fünf Jahren aus gesundheitlichen Gründen für
mehr als vier aufeinander folgende Wochen ganz oder teilweise unterbrechen müssen?</t>
  </si>
  <si>
    <t>Hatten Sie in den letzten 10 Jahren Krankheiten, Unfälle oder Operationen
oder sind in nächster Zeit Operationen vorgesehen?</t>
  </si>
  <si>
    <t>..................................................................................</t>
  </si>
  <si>
    <t>Der/die Unterzeichnende bestätigt, dass er/sie
– sich der PAT-BVG zu den vorstehenden Vertragsbedingungen anschliessen möchte;
– die Angaben in diesem Formular vollständig und wahrheitsgetreu beantwortet hat;
– zur Kenntnis nimmt, dass eine Verletzung der Anzeigepflicht die PAT-BVG berechtigt, die reglementarischen Leistungen
   auf die gesetzlichen BVG-Mindestleistungen zu kürzen.
Die PAT-BVG kann bei Bedarf die Daten an ihren Vertrauensarzt oder Rückversicherer weitergeben. Sämtliche Daten werden streng vertraulich behandelt.</t>
  </si>
  <si>
    <t>Wenn nein: Grund?   ........................................................................................................................................................</t>
  </si>
  <si>
    <t>Wenn ja: Invaliditätsgrad:   .................................. %</t>
  </si>
  <si>
    <t>Wenn ja: wann, durch wen und weshalb?</t>
  </si>
  <si>
    <t xml:space="preserve"> ........................................................................................................................................................................................</t>
  </si>
  <si>
    <t>Wenn nein: weshalb nicht?</t>
  </si>
  <si>
    <t>Wenn ja: genaue Bezeichnung, seit wann, Name und Adresse des behandelnden Arztes</t>
  </si>
  <si>
    <t>Wenn ja: welche?</t>
  </si>
  <si>
    <r>
      <t xml:space="preserve">Abrechnungs-Nr. </t>
    </r>
    <r>
      <rPr>
        <i/>
        <sz val="9"/>
        <rFont val="Arial"/>
        <family val="2"/>
      </rPr>
      <t>(sofern bekannt):</t>
    </r>
  </si>
  <si>
    <t>.........................................</t>
  </si>
  <si>
    <t>Zivilstand:</t>
  </si>
  <si>
    <t>Strasse, PLZ, Wohnort:</t>
  </si>
  <si>
    <t>Name, Vorname:</t>
  </si>
  <si>
    <t>AHV-Nr.:</t>
  </si>
  <si>
    <t>Geb.-Datum:</t>
  </si>
  <si>
    <t>Geschlecht:</t>
  </si>
  <si>
    <t>......................................................................................................................................................</t>
  </si>
  <si>
    <t>5.</t>
  </si>
  <si>
    <t>6.</t>
  </si>
  <si>
    <t>7.</t>
  </si>
  <si>
    <t>8.</t>
  </si>
  <si>
    <t>9.</t>
  </si>
  <si>
    <t>10.</t>
  </si>
  <si>
    <t xml:space="preserve">    ....................................................................................</t>
  </si>
  <si>
    <t>Für den Anspruchsbeginn auf Invalidenrenten wähle ich folgende Wartefrist:</t>
  </si>
  <si>
    <t>1/3</t>
  </si>
  <si>
    <t>2/3</t>
  </si>
  <si>
    <t>3/3</t>
  </si>
  <si>
    <t>Beruf, Titel:</t>
  </si>
  <si>
    <t>Telefon-Nr.:</t>
  </si>
  <si>
    <t xml:space="preserve"> ...................................</t>
  </si>
  <si>
    <t>Körpergrösse:</t>
  </si>
  <si>
    <t>................................. cm</t>
  </si>
  <si>
    <t>Körpergewicht:</t>
  </si>
  <si>
    <t xml:space="preserve"> ..................................... kg</t>
  </si>
  <si>
    <t>Ort und Datum</t>
  </si>
  <si>
    <t>Unterschrift</t>
  </si>
  <si>
    <t>360  /  R1+TK%  /  Bb_Plan  /  A2  /  ZS2  /  UWS50</t>
  </si>
  <si>
    <t>11112201</t>
  </si>
  <si>
    <t>11112205</t>
  </si>
  <si>
    <t>11202201</t>
  </si>
  <si>
    <t>360  /  R1+TK2_RW  /  Bb_Plan  /  A2  /  ZS2</t>
  </si>
  <si>
    <t>11202205</t>
  </si>
  <si>
    <t>360  /  R1+TK2_RW  /  Bb_Plan  /  A2  /  ZS2  /  UWS50</t>
  </si>
  <si>
    <t>11212201</t>
  </si>
  <si>
    <t>11212205</t>
  </si>
  <si>
    <t>12002201</t>
  </si>
  <si>
    <t>360  /  R2  /  Bb_Plan  /  A2  /  ZS2</t>
  </si>
  <si>
    <t>12002205</t>
  </si>
  <si>
    <t>360  /  R2  /  Bb_Plan  /  A2  /  ZS2  /  UWS50</t>
  </si>
  <si>
    <t>12012201</t>
  </si>
  <si>
    <t>12012205</t>
  </si>
  <si>
    <t>12102201</t>
  </si>
  <si>
    <t>360  /  R2+TK%  /  Bb_Plan  /  A2  /  ZS2</t>
  </si>
  <si>
    <t>12102205</t>
  </si>
  <si>
    <t>360  /  R2+TK%  /  Bb_Plan  /  A2  /  ZS2  /  UWS50</t>
  </si>
  <si>
    <t>12112201</t>
  </si>
  <si>
    <t>12112205</t>
  </si>
  <si>
    <t>12202201</t>
  </si>
  <si>
    <t>360  /  R2+TK2_RW  /  Bb_Plan  /  A2  /  ZS2</t>
  </si>
  <si>
    <t>12202205</t>
  </si>
  <si>
    <t>360  /  R2+TK2_RW  /  Bb_Plan  /  A2  /  ZS2  /  UWS50</t>
  </si>
  <si>
    <t>12212201</t>
  </si>
  <si>
    <t>12212205</t>
  </si>
  <si>
    <t>21002201</t>
  </si>
  <si>
    <t>720  /  R1  /  Bb_Plan  /  A2  /  ZS2</t>
  </si>
  <si>
    <t>21002205</t>
  </si>
  <si>
    <t>720  /  R1  /  Bb_Plan  /  A2  /  ZS2  /  UWS50</t>
  </si>
  <si>
    <t>21012201</t>
  </si>
  <si>
    <t>Als Spaltenüberschrift für eine separate Archivdatei können Sie in der gleichen Weise die Zeile 13-15 dieses Tabellenblatts kopieren.</t>
  </si>
  <si>
    <t>Zinssatz 2014 1,75%</t>
  </si>
  <si>
    <t>B41</t>
  </si>
  <si>
    <t>= Personenkreis:</t>
  </si>
  <si>
    <t>(immer _)</t>
  </si>
  <si>
    <t>= Plannummer:</t>
  </si>
  <si>
    <t>21012205</t>
  </si>
  <si>
    <t>21102201</t>
  </si>
  <si>
    <t>720  /  R1+TK%  /  Bb_Plan  /  A2  /  ZS2</t>
  </si>
  <si>
    <t>21102205</t>
  </si>
  <si>
    <t>720  /  R1+TK%  /  Bb_Plan  /  A2  /  ZS2  /  UWS50</t>
  </si>
  <si>
    <t>21112201</t>
  </si>
  <si>
    <t>21112205</t>
  </si>
  <si>
    <t>21202201</t>
  </si>
  <si>
    <t>720  /  R1+TK2_RW  /  Bb_Plan  /  A2  /  ZS2</t>
  </si>
  <si>
    <t>21202205</t>
  </si>
  <si>
    <t>720  /  R1+TK2_RW  /  Bb_Plan  /  A2  /  ZS2  /  UWS50</t>
  </si>
  <si>
    <t>21212201</t>
  </si>
  <si>
    <t>21212205</t>
  </si>
  <si>
    <t>22002201</t>
  </si>
  <si>
    <t>720  /  R2  /  Bb_Plan  /  A2  /  ZS2</t>
  </si>
  <si>
    <t>22002205</t>
  </si>
  <si>
    <t>720  /  R2  /  Bb_Plan  /  A2  /  ZS2  /  UWS50</t>
  </si>
  <si>
    <t>22012201</t>
  </si>
  <si>
    <t>22012205</t>
  </si>
  <si>
    <t>22102201</t>
  </si>
  <si>
    <t>720  /  R2+TK%  /  Bb_Plan  /  A2  /  ZS2</t>
  </si>
  <si>
    <t>22102205</t>
  </si>
  <si>
    <t>720  /  R2+TK%  /  Bb_Plan  /  A2  /  ZS2  /  UWS50</t>
  </si>
  <si>
    <t>22112201</t>
  </si>
  <si>
    <t>22112205</t>
  </si>
  <si>
    <t>22202201</t>
  </si>
  <si>
    <t>720  /  R2+TK2_RW  /  Bb_Plan  /  A2  /  ZS2</t>
  </si>
  <si>
    <t>22202205</t>
  </si>
  <si>
    <t>720  /  R2+TK2_RW  /  Bb_Plan  /  A2  /  ZS2  /  UWS50</t>
  </si>
  <si>
    <t>22212201</t>
  </si>
  <si>
    <t>22212205</t>
  </si>
  <si>
    <t>50002201</t>
  </si>
  <si>
    <t>Plan ab AHV-Alter  /  A2  /  ZS2</t>
  </si>
  <si>
    <t>50002205</t>
  </si>
  <si>
    <t>SE 50+ Plan ab AHV-Alter  /  A2  /  ZS2</t>
  </si>
  <si>
    <t>11003001</t>
  </si>
  <si>
    <t>360  /  R1  /  Bb_Plan  /  A3</t>
  </si>
  <si>
    <t>11003005</t>
  </si>
  <si>
    <t>360  /  R1  /  Bb_Plan  /  A3  /  UWS50</t>
  </si>
  <si>
    <t>11013001</t>
  </si>
  <si>
    <t>11013005</t>
  </si>
  <si>
    <t>11103001</t>
  </si>
  <si>
    <t>360  /  R1+TK%  /  Bb_Plan  /  A3</t>
  </si>
  <si>
    <t>11103005</t>
  </si>
  <si>
    <t>360  /  R1+TK%  /  Bb_Plan  /  A3  /  UWS50</t>
  </si>
  <si>
    <t>11113001</t>
  </si>
  <si>
    <t>11113005</t>
  </si>
  <si>
    <t>11203001</t>
  </si>
  <si>
    <t>360  /  R1+TK2_RW  /  Bb_Plan  /  A3</t>
  </si>
  <si>
    <t>11203005</t>
  </si>
  <si>
    <t>360  /  R1+TK2_RW  /  Bb_Plan  /  A3  /  UWS50</t>
  </si>
  <si>
    <t>11213001</t>
  </si>
  <si>
    <t>11213005</t>
  </si>
  <si>
    <t>12003001</t>
  </si>
  <si>
    <t>360  /  R2  /  Bb_Plan  /  A3</t>
  </si>
  <si>
    <t>12003005</t>
  </si>
  <si>
    <t>360  /  R2  /  Bb_Plan  /  A3  /  UWS50</t>
  </si>
  <si>
    <t>12013001</t>
  </si>
  <si>
    <t>12013005</t>
  </si>
  <si>
    <t>12103001</t>
  </si>
  <si>
    <t>Vers.ausweis</t>
  </si>
  <si>
    <t>AHV-Alter bei Geburtsmonat Dezember</t>
  </si>
  <si>
    <t>360  /  R2+TK%  /  Bb_Plan  /  A3</t>
  </si>
  <si>
    <t>12103005</t>
  </si>
  <si>
    <t>360  /  R2+TK%  /  Bb_Plan  /  A3  /  UWS50</t>
  </si>
  <si>
    <t>12113001</t>
  </si>
  <si>
    <t>12113005</t>
  </si>
  <si>
    <t>12203001</t>
  </si>
  <si>
    <t>360  /  R2+TK2_RW  /  Bb_Plan  /  A3</t>
  </si>
  <si>
    <t>12203005</t>
  </si>
  <si>
    <t>360  /  R2+TK2_RW  /  Bb_Plan  /  A3  /  UWS50</t>
  </si>
  <si>
    <t>12213001</t>
  </si>
  <si>
    <t>12213005</t>
  </si>
  <si>
    <t>21003001</t>
  </si>
  <si>
    <t xml:space="preserve">A41 </t>
  </si>
  <si>
    <t>+ P41 gelöscht</t>
  </si>
  <si>
    <t>720  /  R1  /  Bb_Plan  /  A3</t>
  </si>
  <si>
    <t>21003005</t>
  </si>
  <si>
    <t>720  /  R1  /  Bb_Plan  /  A3  /  UWS50</t>
  </si>
  <si>
    <t>21013001</t>
  </si>
  <si>
    <t>21013005</t>
  </si>
  <si>
    <t>21103001</t>
  </si>
  <si>
    <t>720  /  R1+TK%  /  Bb_Plan  /  A3</t>
  </si>
  <si>
    <t>21103005</t>
  </si>
  <si>
    <t>720  /  R1+TK%  /  Bb_Plan  /  A3  /  UWS50</t>
  </si>
  <si>
    <t>21113001</t>
  </si>
  <si>
    <t>21113005</t>
  </si>
  <si>
    <t>21203001</t>
  </si>
  <si>
    <t>720  /  R1+TK2_RW  /  Bb_Plan  /  A3</t>
  </si>
  <si>
    <t>21203005</t>
  </si>
  <si>
    <t>720  /  R1+TK2_RW  /  Bb_Plan  /  A3  /  UWS50</t>
  </si>
  <si>
    <t>21213001</t>
  </si>
  <si>
    <t>21213005</t>
  </si>
  <si>
    <t>22003001</t>
  </si>
  <si>
    <t>720  /  R2  /  Bb_Plan  /  A3</t>
  </si>
  <si>
    <t>22003005</t>
  </si>
  <si>
    <t>720  /  R2  /  Bb_Plan  /  A3  /  UWS50</t>
  </si>
  <si>
    <t>22013001</t>
  </si>
  <si>
    <t>22013005</t>
  </si>
  <si>
    <t>22103001</t>
  </si>
  <si>
    <t>* Wird die Wartefrist für Invalidenleistungen von 720 Tagen gewählt, bestätigt der Arbeitgeber, dass
– die Krankentaggeldversicherung mindestens zur Hälfte vom Arbeitgeber mitfinanziert wird und
– das Krankentaggeld während der gesamten Dauer mindestens 80% des entgangenen Lohnes beträgt.</t>
  </si>
  <si>
    <t>Adressangaben</t>
  </si>
  <si>
    <t>Vollständiger Name Arbeitgeber</t>
  </si>
  <si>
    <t>Adresse</t>
  </si>
  <si>
    <t>Zuständige Person</t>
  </si>
  <si>
    <t>Telefon-Nr.</t>
  </si>
  <si>
    <t>E-Mail</t>
  </si>
  <si>
    <t>.........................................................................................................................................</t>
  </si>
  <si>
    <t>Angaben zum Anschluss an die PAT-BVG</t>
  </si>
  <si>
    <r>
      <t xml:space="preserve">Bitte füllen Sie für jede zu versichernde Person ein </t>
    </r>
    <r>
      <rPr>
        <u/>
        <sz val="9"/>
        <rFont val="Arial"/>
        <family val="2"/>
      </rPr>
      <t>Anmeldeformular</t>
    </r>
    <r>
      <rPr>
        <sz val="9"/>
        <rFont val="Arial"/>
        <family val="2"/>
      </rPr>
      <t xml:space="preserve"> aus.</t>
    </r>
  </si>
  <si>
    <t>Bestehende Leistungsfälle, welche von der PAT-BVG zu übernehmen sind:</t>
  </si>
  <si>
    <t>Geben Sie bitte alle Personen an, welche bereits eine Leistung beziehen. Arbeits- oder erwerbsunfähige Personen, welche in Abklärung für Leistungsansprüche sind, bitte ebenfalls angeben. Leistungsfälle werden nur bei Überweisung des De-ckungskapitals gemäss versicherungstechnischen Grundlagen der PAT-BVG übernommen.</t>
  </si>
  <si>
    <t>Name, Vorname</t>
  </si>
  <si>
    <t>Geb.-datum</t>
  </si>
  <si>
    <t>Art der Leistung</t>
  </si>
  <si>
    <t>Betrag Jahresrente</t>
  </si>
  <si>
    <t>Bisherige Vorsorgeeinrichtung:</t>
  </si>
  <si>
    <t>Kontaktperson</t>
  </si>
  <si>
    <r>
      <t>Kriterium, wenn unterschiedliche Personenkreise</t>
    </r>
    <r>
      <rPr>
        <sz val="9"/>
        <rFont val="Arial"/>
        <family val="2"/>
      </rPr>
      <t xml:space="preserve">
(vgl. Ziff. 3, z.B. Kader/Mitarbeitende, Teil-/Vollzeitangestellte, Lohnhöhe)</t>
    </r>
  </si>
  <si>
    <t>Personenkreis 1</t>
  </si>
  <si>
    <t>Personenkreis 2</t>
  </si>
  <si>
    <r>
      <t>Wichtig:</t>
    </r>
    <r>
      <rPr>
        <sz val="9"/>
        <rFont val="Arial"/>
        <family val="2"/>
      </rPr>
      <t xml:space="preserve"> Bei unterschiedlichen Personenkreisen bitte zusätzliches Blatt mit Vorsorgeplan des Personenkreises 2 beilegen.</t>
    </r>
  </si>
  <si>
    <t>11.</t>
  </si>
  <si>
    <t>Für den Arbeitgeber:</t>
  </si>
  <si>
    <t>Vertreter/-in versicherte Person(en):</t>
  </si>
  <si>
    <t>A56</t>
  </si>
  <si>
    <t>F44/J34</t>
  </si>
  <si>
    <t>L47</t>
  </si>
  <si>
    <t>Arbeitgeber können freiwillige Arbeitgeber-Beitragsreserven äufnen, welche gesondert geführt und verzinst werden. Der Zinssatz wird vom Stiftungsrat festgelegt. Auf schriftlichen Antrag oder bei Zahlungsverzug können daraus Beitragsforderungen beglichen werden. Die maximale Höhe von Arbeitgeber-Beitragsreserven richtet sich nach den gesetzlichen Bestimmungen.</t>
  </si>
  <si>
    <t>ACHTUNG ZS:</t>
  </si>
  <si>
    <t>Bezeichnung</t>
  </si>
  <si>
    <r>
      <t xml:space="preserve">Bei einem Aufschub des Anspruchbeginns von Invalidenleistungen auf 720 Tage mit entsprechend reduzierten Risikoprämien haftet die PAT-BVG nicht für allfällig abgeleitete Rechtsansprüche vor Ende der Wartefrist. Stellt sich bei einem Leistungsfall heraus, dass der Leistungsbeginn nicht mit der kollektiven Krankentaggeldversicherung koordiniert werden kann und muss die PAT-BVG bereits vor dem 721. Tag Invalidenleistungen erbringen, haftet der Arbeitgeber für die Mehrleistungen. Sämtliche Rentenzahlungen an die versicherte Person vor dem 721. Tag werden dem Arbeitgeber in Rechnung gestellt. Davon aus-genommen ist die Beitragsbefreiung. </t>
    </r>
    <r>
      <rPr>
        <b/>
        <sz val="9"/>
        <rFont val="Arial"/>
        <family val="2"/>
      </rPr>
      <t>Der Arbeitgeber nimmt zur Kenntnis, dass er für allfällige Mehrleistungen haftet und die PAT-BVG ihm diese in Rechnung stellt.</t>
    </r>
  </si>
  <si>
    <t>neu</t>
  </si>
  <si>
    <t>Archiv</t>
  </si>
  <si>
    <t>Selbständigerwerbender</t>
  </si>
  <si>
    <t>720  /  R2+TK%  /  Bb_Plan  /  A3</t>
  </si>
  <si>
    <t>22103005</t>
  </si>
  <si>
    <t>720  /  R2+TK%  /  Bb_Plan  /  A3  /  UWS50</t>
  </si>
  <si>
    <t>22113001</t>
  </si>
  <si>
    <t>22113005</t>
  </si>
  <si>
    <t>22203001</t>
  </si>
  <si>
    <t>55 - 64/65</t>
  </si>
  <si>
    <t>65/66 - 70</t>
  </si>
  <si>
    <t>720  /  R2+TK2_RW  /  Bb_Plan  /  A3</t>
  </si>
  <si>
    <t>22203005</t>
  </si>
  <si>
    <t>B30</t>
  </si>
  <si>
    <t>Warnhinweis, wenn AHV-Lohn unter Eintrittsschwelle + R1</t>
  </si>
  <si>
    <t>Wartefrist wird angezeigt</t>
  </si>
  <si>
    <t>720  /  R2+TK2_RW  /  Bb_Plan  /  A3  /  UWS50</t>
  </si>
  <si>
    <t>22213001</t>
  </si>
  <si>
    <t>Datenschutz</t>
  </si>
  <si>
    <t>diverse</t>
  </si>
  <si>
    <t>P47-X57</t>
  </si>
  <si>
    <t>L40-Q4</t>
  </si>
  <si>
    <t>D42-J46</t>
  </si>
  <si>
    <t>22213005</t>
  </si>
  <si>
    <t>50003001</t>
  </si>
  <si>
    <t xml:space="preserve">Plan ab AHV-Alter  /  A3  /  </t>
  </si>
  <si>
    <t>50003005</t>
  </si>
  <si>
    <t xml:space="preserve">SE 50+ Plan ab AHV-Alter  /  A3  /  </t>
  </si>
  <si>
    <t>11003101</t>
  </si>
  <si>
    <t>360  /  R1  /  Bb_Plan  /  A3  /  ZS1</t>
  </si>
  <si>
    <t>11003105</t>
  </si>
  <si>
    <t>360  /  R1  /  Bb_Plan  /  A3  /  ZS1  /  UWS50</t>
  </si>
  <si>
    <t>11013101</t>
  </si>
  <si>
    <t>11013105</t>
  </si>
  <si>
    <t>11103101</t>
  </si>
  <si>
    <t>360  /  R1+TK%  /  Bb_Plan  /  A3  /  ZS1</t>
  </si>
  <si>
    <t>11103105</t>
  </si>
  <si>
    <t>360  /  R1+TK%  /  Bb_Plan  /  A3  /  ZS1  /  UWS50</t>
  </si>
  <si>
    <t>11113101</t>
  </si>
  <si>
    <t>11113105</t>
  </si>
  <si>
    <t>11203101</t>
  </si>
  <si>
    <t>360  /  R1+TK2_RW  /  Bb_Plan  /  A3  /  ZS1</t>
  </si>
  <si>
    <t>11203105</t>
  </si>
  <si>
    <t>360  /  R1+TK2_RW  /  Bb_Plan  /  A3  /  ZS1  /  UWS50</t>
  </si>
  <si>
    <t>11213101</t>
  </si>
  <si>
    <t>11213105</t>
  </si>
  <si>
    <t>12003101</t>
  </si>
  <si>
    <t>360  /  R2  /  Bb_Plan  /  A3  /  ZS1</t>
  </si>
  <si>
    <t>12003105</t>
  </si>
  <si>
    <t>360  /  R2  /  Bb_Plan  /  A3  /  ZS1  /  UWS50</t>
  </si>
  <si>
    <t>12013101</t>
  </si>
  <si>
    <t>12013105</t>
  </si>
  <si>
    <t>12103101</t>
  </si>
  <si>
    <t>alles BVG:</t>
  </si>
  <si>
    <t>ACHTUNG Reihenfolge!</t>
  </si>
  <si>
    <t>Reihenfolge!</t>
  </si>
  <si>
    <t>diverse Formeln</t>
  </si>
  <si>
    <t>B33</t>
  </si>
  <si>
    <t>Formel</t>
  </si>
  <si>
    <t>A41</t>
  </si>
  <si>
    <t>360  /  R2+TK%  /  Bb_Plan  /  A3  /  ZS1</t>
  </si>
  <si>
    <t>12103105</t>
  </si>
  <si>
    <t>360  /  R2+TK%  /  Bb_Plan  /  A3  /  ZS1  /  UWS50</t>
  </si>
  <si>
    <t>12113101</t>
  </si>
  <si>
    <t>12113105</t>
  </si>
  <si>
    <t>12203101</t>
  </si>
  <si>
    <t>360  /  R2+TK2_RW  /  Bb_Plan  /  A3  /  ZS1</t>
  </si>
  <si>
    <t>12203105</t>
  </si>
  <si>
    <t>360  /  R2+TK2_RW  /  Bb_Plan  /  A3  /  ZS1  /  UWS50</t>
  </si>
  <si>
    <t>12213101</t>
  </si>
  <si>
    <t>12213105</t>
  </si>
  <si>
    <t>21003101</t>
  </si>
  <si>
    <t>720  /  R1  /  Bb_Plan  /  A3  /  ZS1</t>
  </si>
  <si>
    <t>21003105</t>
  </si>
  <si>
    <t>720  /  R1  /  Bb_Plan  /  A3  /  ZS1  /  UWS50</t>
  </si>
  <si>
    <t>21013101</t>
  </si>
  <si>
    <t>21013105</t>
  </si>
  <si>
    <t>21103101</t>
  </si>
  <si>
    <t>720  /  R1+TK%  /  Bb_Plan  /  A3  /  ZS1</t>
  </si>
  <si>
    <t>21103105</t>
  </si>
  <si>
    <t>720  /  R1+TK%  /  Bb_Plan  /  A3  /  ZS1  /  UWS50</t>
  </si>
  <si>
    <t>21113101</t>
  </si>
  <si>
    <t>21113105</t>
  </si>
  <si>
    <t>21203101</t>
  </si>
  <si>
    <t>720  /  R1+TK2_RW  /  Bb_Plan  /  A3  /  ZS1</t>
  </si>
  <si>
    <t>21203105</t>
  </si>
  <si>
    <t>720  /  R1+TK2_RW  /  Bb_Plan  /  A3  /  ZS1  /  UWS50</t>
  </si>
  <si>
    <t>21213101</t>
  </si>
  <si>
    <t>21213105</t>
  </si>
  <si>
    <t>22003101</t>
  </si>
  <si>
    <t>720  /  R2  /  Bb_Plan  /  A3  /  ZS1</t>
  </si>
  <si>
    <t>22003105</t>
  </si>
  <si>
    <t>720  /  R2  /  Bb_Plan  /  A3  /  ZS1  /  UWS50</t>
  </si>
  <si>
    <t>22013101</t>
  </si>
  <si>
    <t>22013105</t>
  </si>
  <si>
    <t>22103101</t>
  </si>
  <si>
    <t>720  /  R2+TK%  /  Bb_Plan  /  A3  /  ZS1</t>
  </si>
  <si>
    <t>22103105</t>
  </si>
  <si>
    <t>720  /  R2+TK%  /  Bb_Plan  /  A3  /  ZS1  /  UWS50</t>
  </si>
  <si>
    <t>22113101</t>
  </si>
  <si>
    <t>22113105</t>
  </si>
  <si>
    <t>22203101</t>
  </si>
  <si>
    <t>720  /  R2+TK2_RW  /  Bb_Plan  /  A3  /  ZS1</t>
  </si>
  <si>
    <t>22203105</t>
  </si>
  <si>
    <t>720  /  R2+TK2_RW  /  Bb_Plan  /  A3  /  ZS1  /  UWS50</t>
  </si>
  <si>
    <t>22213101</t>
  </si>
  <si>
    <t>22213105</t>
  </si>
  <si>
    <t>50003101</t>
  </si>
  <si>
    <t>Plan ab AHV-Alter  /  A3  /  ZS1</t>
  </si>
  <si>
    <t>50003105</t>
  </si>
  <si>
    <t>SE 50+ Plan ab AHV-Alter  /  A3  /  ZS1</t>
  </si>
  <si>
    <t>11003201</t>
  </si>
  <si>
    <t>360  /  R1  /  Bb_Plan  /  A3  /  ZS2</t>
  </si>
  <si>
    <t>11003205</t>
  </si>
  <si>
    <t>360  /  R1  /  Bb_Plan  /  A3  /  ZS2  /  UWS50</t>
  </si>
  <si>
    <t>11013201</t>
  </si>
  <si>
    <t>11013205</t>
  </si>
  <si>
    <t>11103201</t>
  </si>
  <si>
    <t>360  /  R1+TK%  /  Bb_Plan  /  A3  /  ZS2</t>
  </si>
  <si>
    <t>11103205</t>
  </si>
  <si>
    <t>360  /  R1+TK%  /  Bb_Plan  /  A3  /  ZS2  /  UWS50</t>
  </si>
  <si>
    <t>11113201</t>
  </si>
  <si>
    <t>11113205</t>
  </si>
  <si>
    <t>11203201</t>
  </si>
  <si>
    <t>360  /  R1+TK2_RW  /  Bb_Plan  /  A3  /  ZS2</t>
  </si>
  <si>
    <t>11203205</t>
  </si>
  <si>
    <t>360  /  R1+TK2_RW  /  Bb_Plan  /  A3  /  ZS2  /  UWS50</t>
  </si>
  <si>
    <t>11213201</t>
  </si>
  <si>
    <t>11213205</t>
  </si>
  <si>
    <t>L5 fix ohne</t>
  </si>
  <si>
    <t>Auszahlung Altersguthaben</t>
  </si>
  <si>
    <t>12003201</t>
  </si>
  <si>
    <t>360  /  R2  /  Bb_Plan  /  A3  /  ZS2</t>
  </si>
  <si>
    <t>12003205</t>
  </si>
  <si>
    <t>360  /  R2  /  Bb_Plan  /  A3  /  ZS2  /  UWS50</t>
  </si>
  <si>
    <t>12013201</t>
  </si>
  <si>
    <t>12013205</t>
  </si>
  <si>
    <t>12103201</t>
  </si>
  <si>
    <t>360  /  R2+TK%  /  Bb_Plan  /  A3  /  ZS2</t>
  </si>
  <si>
    <t>12103205</t>
  </si>
  <si>
    <t>360  /  R2+TK%  /  Bb_Plan  /  A3  /  ZS2  /  UWS50</t>
  </si>
  <si>
    <t>12113201</t>
  </si>
  <si>
    <t>12113205</t>
  </si>
  <si>
    <t>12203201</t>
  </si>
  <si>
    <t>360  /  R2+TK2_RW  /  Bb_Plan  /  A3  /  ZS2</t>
  </si>
  <si>
    <t>12203205</t>
  </si>
  <si>
    <t>360  /  R2+TK2_RW  /  Bb_Plan  /  A3  /  ZS2  /  UWS50</t>
  </si>
  <si>
    <t>12213201</t>
  </si>
  <si>
    <t>12213205</t>
  </si>
  <si>
    <t>21003201</t>
  </si>
  <si>
    <t>720  /  R1  /  Bb_Plan  /  A3  /  ZS2</t>
  </si>
  <si>
    <t>21003205</t>
  </si>
  <si>
    <t>720  /  R1  /  Bb_Plan  /  A3  /  ZS2  /  UWS50</t>
  </si>
  <si>
    <t>21013201</t>
  </si>
  <si>
    <t>21013205</t>
  </si>
  <si>
    <t>21103201</t>
  </si>
  <si>
    <t>720  /  R1+TK%  /  Bb_Plan  /  A3  /  ZS2</t>
  </si>
  <si>
    <t>21103205</t>
  </si>
  <si>
    <t>720  /  R1+TK%  /  Bb_Plan  /  A3  /  ZS2  /  UWS50</t>
  </si>
  <si>
    <t>21113201</t>
  </si>
  <si>
    <t>21113205</t>
  </si>
  <si>
    <t>21203201</t>
  </si>
  <si>
    <t>720  /  R1+TK2_RW  /  Bb_Plan  /  A3  /  ZS2</t>
  </si>
  <si>
    <t>21203205</t>
  </si>
  <si>
    <t>720  /  R1+TK2_RW  /  Bb_Plan  /  A3  /  ZS2  /  UWS50</t>
  </si>
  <si>
    <t>21213201</t>
  </si>
  <si>
    <t>21213205</t>
  </si>
  <si>
    <t>22003201</t>
  </si>
  <si>
    <t>720  /  R2  /  Bb_Plan  /  A3  /  ZS2</t>
  </si>
  <si>
    <t>22003205</t>
  </si>
  <si>
    <t>720  /  R2  /  Bb_Plan  /  A3  /  ZS2  /  UWS50</t>
  </si>
  <si>
    <t>22013201</t>
  </si>
  <si>
    <t>22013205</t>
  </si>
  <si>
    <t>22103201</t>
  </si>
  <si>
    <t>720  /  R2+TK%  /  Bb_Plan  /  A3  /  ZS2</t>
  </si>
  <si>
    <t>22103205</t>
  </si>
  <si>
    <t>720  /  R2+TK%  /  Bb_Plan  /  A3  /  ZS2  /  UWS50</t>
  </si>
  <si>
    <t>22113201</t>
  </si>
  <si>
    <t>22113205</t>
  </si>
  <si>
    <t>22203201</t>
  </si>
  <si>
    <t>720  /  R2+TK2_RW  /  Bb_Plan  /  A3  /  ZS2</t>
  </si>
  <si>
    <t>22203205</t>
  </si>
  <si>
    <t>720  /  R2+TK2_RW  /  Bb_Plan  /  A3  /  ZS2  /  UWS50</t>
  </si>
  <si>
    <t>22213201</t>
  </si>
  <si>
    <t>22213205</t>
  </si>
  <si>
    <t>50003201</t>
  </si>
  <si>
    <t>Plan ab AHV-Alter  /  A3  /  ZS2</t>
  </si>
  <si>
    <t>50003205</t>
  </si>
  <si>
    <t>SE 50+ Plan ab AHV-Alter  /  A3  /  ZS2</t>
  </si>
  <si>
    <t>11004001</t>
  </si>
  <si>
    <t>360  /  R1  /  Bb_Plan  /  A4</t>
  </si>
  <si>
    <t>11004005</t>
  </si>
  <si>
    <t>360  /  R1  /  Bb_Plan  /  A4  /  UWS50</t>
  </si>
  <si>
    <t>11014001</t>
  </si>
  <si>
    <t>11014005</t>
  </si>
  <si>
    <t>11104001</t>
  </si>
  <si>
    <t>360  /  R1+TK%  /  Bb_Plan  /  A4</t>
  </si>
  <si>
    <t>11104005</t>
  </si>
  <si>
    <t>360  /  R1+TK%  /  Bb_Plan  /  A4  /  UWS50</t>
  </si>
  <si>
    <t>11114001</t>
  </si>
  <si>
    <t>11114005</t>
  </si>
  <si>
    <t>11204001</t>
  </si>
  <si>
    <t>360  /  R1+TK2_RW  /  Bb_Plan  /  A4</t>
  </si>
  <si>
    <t>11204005</t>
  </si>
  <si>
    <t>360  /  R1+TK2_RW  /  Bb_Plan  /  A4  /  UWS50</t>
  </si>
  <si>
    <t>11214001</t>
  </si>
  <si>
    <t>11214005</t>
  </si>
  <si>
    <t>12004001</t>
  </si>
  <si>
    <t>360  /  R2  /  Bb_Plan  /  A4</t>
  </si>
  <si>
    <t>12004005</t>
  </si>
  <si>
    <t>360  /  R2  /  Bb_Plan  /  A4  /  UWS50</t>
  </si>
  <si>
    <t>12014001</t>
  </si>
  <si>
    <t>12014005</t>
  </si>
  <si>
    <t>12104001</t>
  </si>
  <si>
    <t>360  /  R2+TK%  /  Bb_Plan  /  A4</t>
  </si>
  <si>
    <t>12104005</t>
  </si>
  <si>
    <t>360  /  R2+TK%  /  Bb_Plan  /  A4  /  UWS50</t>
  </si>
  <si>
    <t>12114001</t>
  </si>
  <si>
    <t>12114005</t>
  </si>
  <si>
    <t>12204001</t>
  </si>
  <si>
    <t>360  /  R2+TK2_RW  /  Bb_Plan  /  A4</t>
  </si>
  <si>
    <t>12204005</t>
  </si>
  <si>
    <t>360  /  R2+TK2_RW  /  Bb_Plan  /  A4  /  UWS50</t>
  </si>
  <si>
    <t>12214001</t>
  </si>
  <si>
    <t>12214005</t>
  </si>
  <si>
    <t>21004001</t>
  </si>
  <si>
    <t>720  /  R1  /  Bb_Plan  /  A4</t>
  </si>
  <si>
    <t>21004005</t>
  </si>
  <si>
    <t>720  /  R1  /  Bb_Plan  /  A4  /  UWS50</t>
  </si>
  <si>
    <t>21014001</t>
  </si>
  <si>
    <t>21014005</t>
  </si>
  <si>
    <t>21104001</t>
  </si>
  <si>
    <t>720  /  R1+TK%  /  Bb_Plan  /  A4</t>
  </si>
  <si>
    <t>21104005</t>
  </si>
  <si>
    <t>720  /  R1+TK%  /  Bb_Plan  /  A4  /  UWS50</t>
  </si>
  <si>
    <t>21114001</t>
  </si>
  <si>
    <t>21114005</t>
  </si>
  <si>
    <t>21204001</t>
  </si>
  <si>
    <t>720  /  R1+TK2_RW  /  Bb_Plan  /  A4</t>
  </si>
  <si>
    <t>21204005</t>
  </si>
  <si>
    <t>720  /  R1+TK2_RW  /  Bb_Plan  /  A4  /  UWS50</t>
  </si>
  <si>
    <t>21214001</t>
  </si>
  <si>
    <t>21214005</t>
  </si>
  <si>
    <t>22004001</t>
  </si>
  <si>
    <t>720  /  R2  /  Bb_Plan  /  A4</t>
  </si>
  <si>
    <t>22004005</t>
  </si>
  <si>
    <t>720  /  R2  /  Bb_Plan  /  A4  /  UWS50</t>
  </si>
  <si>
    <t>22014001</t>
  </si>
  <si>
    <t>22014005</t>
  </si>
  <si>
    <t>22104001</t>
  </si>
  <si>
    <t>720  /  R2+TK%  /  Bb_Plan  /  A4</t>
  </si>
  <si>
    <t>22104005</t>
  </si>
  <si>
    <t>720  /  R2+TK%  /  Bb_Plan  /  A4  /  UWS50</t>
  </si>
  <si>
    <t>22114001</t>
  </si>
  <si>
    <t>22114005</t>
  </si>
  <si>
    <t>22204001</t>
  </si>
  <si>
    <t>720  /  R2+TK2_RW  /  Bb_Plan  /  A4</t>
  </si>
  <si>
    <t>22204005</t>
  </si>
  <si>
    <t>720  /  R2+TK2_RW  /  Bb_Plan  /  A4  /  UWS50</t>
  </si>
  <si>
    <t>22214001</t>
  </si>
  <si>
    <t>22214005</t>
  </si>
  <si>
    <t>50004001</t>
  </si>
  <si>
    <t xml:space="preserve">Plan ab AHV-Alter  /  A4  /  </t>
  </si>
  <si>
    <t>50004005</t>
  </si>
  <si>
    <t xml:space="preserve">SE 50+ Plan ab AHV-Alter  /  A4  /  </t>
  </si>
  <si>
    <t>11004101</t>
  </si>
  <si>
    <t>360  /  R1  /  Bb_Plan  /  A4  /  ZS1</t>
  </si>
  <si>
    <t>11004105</t>
  </si>
  <si>
    <t>360  /  R1  /  Bb_Plan  /  A4  /  ZS1  /  UWS50</t>
  </si>
  <si>
    <t>11014101</t>
  </si>
  <si>
    <t>11014105</t>
  </si>
  <si>
    <t>11104101</t>
  </si>
  <si>
    <t>360  /  R1+TK%  /  Bb_Plan  /  A4  /  ZS1</t>
  </si>
  <si>
    <t>11104105</t>
  </si>
  <si>
    <t>360  /  R1+TK%  /  Bb_Plan  /  A4  /  ZS1  /  UWS50</t>
  </si>
  <si>
    <t>11114101</t>
  </si>
  <si>
    <t>11114105</t>
  </si>
  <si>
    <t>11204101</t>
  </si>
  <si>
    <t>Versionen</t>
  </si>
  <si>
    <t>Renten</t>
  </si>
  <si>
    <t>J69</t>
  </si>
  <si>
    <t>X:Y</t>
  </si>
  <si>
    <t>W14</t>
  </si>
  <si>
    <t>S:Y</t>
  </si>
  <si>
    <t>eingefügt</t>
  </si>
  <si>
    <t>angepasst</t>
  </si>
  <si>
    <t>Wertebereich</t>
  </si>
  <si>
    <t>Rente bei BVG-Minimum</t>
  </si>
  <si>
    <t>Plannummer</t>
  </si>
  <si>
    <t>360  /  R1+TK2_RW  /  Bb_Plan  /  A4  /  ZS1</t>
  </si>
  <si>
    <t>11204105</t>
  </si>
  <si>
    <t>360  /  R1+TK2_RW  /  Bb_Plan  /  A4  /  ZS1  /  UWS50</t>
  </si>
  <si>
    <t>11214101</t>
  </si>
  <si>
    <t>11214105</t>
  </si>
  <si>
    <t>12004101</t>
  </si>
  <si>
    <t>360  /  R2  /  Bb_Plan  /  A4  /  ZS1</t>
  </si>
  <si>
    <t>12004105</t>
  </si>
  <si>
    <t>360  /  R2  /  Bb_Plan  /  A4  /  ZS1  /  UWS50</t>
  </si>
  <si>
    <t>12014101</t>
  </si>
  <si>
    <t>12014105</t>
  </si>
  <si>
    <t>12104101</t>
  </si>
  <si>
    <t>360  /  R2+TK%  /  Bb_Plan  /  A4  /  ZS1</t>
  </si>
  <si>
    <t>12104105</t>
  </si>
  <si>
    <t>G25:G26</t>
  </si>
  <si>
    <t>J25:J26</t>
  </si>
  <si>
    <t>360  /  R2+TK%  /  Bb_Plan  /  A4  /  ZS1  /  UWS50</t>
  </si>
  <si>
    <t>12114101</t>
  </si>
  <si>
    <t>12114105</t>
  </si>
  <si>
    <t>12204101</t>
  </si>
  <si>
    <t>360  /  R2+TK2_RW  /  Bb_Plan  /  A4  /  ZS1</t>
  </si>
  <si>
    <t>12204105</t>
  </si>
  <si>
    <t>360  /  R2+TK2_RW  /  Bb_Plan  /  A4  /  ZS1  /  UWS50</t>
  </si>
  <si>
    <t>12214101</t>
  </si>
  <si>
    <t>12214105</t>
  </si>
  <si>
    <t>21004101</t>
  </si>
  <si>
    <t>720  /  R1  /  Bb_Plan  /  A4  /  ZS1</t>
  </si>
  <si>
    <t>21004105</t>
  </si>
  <si>
    <t>720  /  R1  /  Bb_Plan  /  A4  /  ZS1  /  UWS50</t>
  </si>
  <si>
    <t>21014101</t>
  </si>
  <si>
    <t>21014105</t>
  </si>
  <si>
    <t>21104101</t>
  </si>
  <si>
    <t>720  /  R1+TK%  /  Bb_Plan  /  A4  /  ZS1</t>
  </si>
  <si>
    <t>21104105</t>
  </si>
  <si>
    <t>720  /  R1+TK%  /  Bb_Plan  /  A4  /  ZS1  /  UWS50</t>
  </si>
  <si>
    <t>21114101</t>
  </si>
  <si>
    <t>21114105</t>
  </si>
  <si>
    <t>21204101</t>
  </si>
  <si>
    <t>720  /  R1+TK2_RW  /  Bb_Plan  /  A4  /  ZS1</t>
  </si>
  <si>
    <t>21204105</t>
  </si>
  <si>
    <t>720  /  R1+TK2_RW  /  Bb_Plan  /  A4  /  ZS1  /  UWS50</t>
  </si>
  <si>
    <t>21214101</t>
  </si>
  <si>
    <t>21214105</t>
  </si>
  <si>
    <t>22004101</t>
  </si>
  <si>
    <t>720  /  R2  /  Bb_Plan  /  A4  /  ZS1</t>
  </si>
  <si>
    <t>22004105</t>
  </si>
  <si>
    <t>720  /  R2  /  Bb_Plan  /  A4  /  ZS1  /  UWS50</t>
  </si>
  <si>
    <t>22014101</t>
  </si>
  <si>
    <t>22014105</t>
  </si>
  <si>
    <t>22104101</t>
  </si>
  <si>
    <t>720  /  R2+TK%  /  Bb_Plan  /  A4  /  ZS1</t>
  </si>
  <si>
    <t>22104105</t>
  </si>
  <si>
    <t>720  /  R2+TK%  /  Bb_Plan  /  A4  /  ZS1  /  UWS50</t>
  </si>
  <si>
    <t>22114101</t>
  </si>
  <si>
    <t>22114105</t>
  </si>
  <si>
    <t>22204101</t>
  </si>
  <si>
    <t>720  /  R2+TK2_RW  /  Bb_Plan  /  A4  /  ZS1</t>
  </si>
  <si>
    <t>22204105</t>
  </si>
  <si>
    <t>720  /  R2+TK2_RW  /  Bb_Plan  /  A4  /  ZS1  /  UWS50</t>
  </si>
  <si>
    <t>22214101</t>
  </si>
  <si>
    <t>22214105</t>
  </si>
  <si>
    <t>50004101</t>
  </si>
  <si>
    <t>Plan ab AHV-Alter  /  A4  /  ZS1</t>
  </si>
  <si>
    <t>50004105</t>
  </si>
  <si>
    <t>SE 50+ Plan ab AHV-Alter  /  A4  /  ZS1</t>
  </si>
  <si>
    <t>11004201</t>
  </si>
  <si>
    <t>360  /  R1  /  Bb_Plan  /  A4  /  ZS2</t>
  </si>
  <si>
    <t>11004205</t>
  </si>
  <si>
    <t>Beitrittserklärung</t>
  </si>
  <si>
    <t>Versicherte Leistungen und Beiträge</t>
  </si>
  <si>
    <t>Die versicherten Leistungen und Beiträge richten sich nach dem Vorsorgereglement und dem gewählten Vorsorgeplan. Der Wechsel des Vorsorgeplans ist – unter Vorbehalt der Zustimmung durch die PAT-BVG – jeweils auf den Anfang eines Ka-lenderjahres möglich.</t>
  </si>
  <si>
    <t>Auflösung des Anschlussvertrages, Kündigungsfristen</t>
  </si>
  <si>
    <t>Zahlungsmodalität der Beiträge</t>
  </si>
  <si>
    <t xml:space="preserve">Beginn des Anspruchs auf Invalidenleistungen </t>
  </si>
  <si>
    <t>Personalien</t>
  </si>
  <si>
    <t>Angaben zur Versicherung</t>
  </si>
  <si>
    <t>e)</t>
  </si>
  <si>
    <t>f)</t>
  </si>
  <si>
    <t>g)</t>
  </si>
  <si>
    <t>h)</t>
  </si>
  <si>
    <t>Haben Sie sich innerhalb eines Jahres nach Aufnahme der selbständigen Erwerbstätigkeit freiwillig im BVG versichert?</t>
  </si>
  <si>
    <t>Haben Sie zu einem früheren Zeitpunkt einen Vorbezug für Wohneigentum getätigt?
Wenn ja, bitte entsprechende Unterlagen beilegen</t>
  </si>
  <si>
    <t>Angaben zur Gesundheit</t>
  </si>
  <si>
    <t>Wahl Vorsorgeplan</t>
  </si>
  <si>
    <t>Bestätigung und Unterschrift</t>
  </si>
  <si>
    <t>360  /  R1  /  Bb_Plan  /  A4  /  ZS2  /  UWS50</t>
  </si>
  <si>
    <t>11014201</t>
  </si>
  <si>
    <t>11014205</t>
  </si>
  <si>
    <t>11104201</t>
  </si>
  <si>
    <t>360  /  R1+TK%  /  Bb_Plan  /  A4  /  ZS2</t>
  </si>
  <si>
    <t>11104205</t>
  </si>
  <si>
    <t>360  /  R1+TK%  /  Bb_Plan  /  A4  /  ZS2  /  UWS50</t>
  </si>
  <si>
    <t>11114201</t>
  </si>
  <si>
    <t>11114205</t>
  </si>
  <si>
    <t>11204201</t>
  </si>
  <si>
    <t>360  /  R1+TK2_RW  /  Bb_Plan  /  A4  /  ZS2</t>
  </si>
  <si>
    <t>11204205</t>
  </si>
  <si>
    <t>360  /  R1+TK2_RW  /  Bb_Plan  /  A4  /  ZS2  /  UWS50</t>
  </si>
  <si>
    <t>11214201</t>
  </si>
  <si>
    <t>11214205</t>
  </si>
  <si>
    <t>12004201</t>
  </si>
  <si>
    <t>360  /  R2  /  Bb_Plan  /  A4  /  ZS2</t>
  </si>
  <si>
    <t>12004205</t>
  </si>
  <si>
    <t>360  /  R2  /  Bb_Plan  /  A4  /  ZS2  /  UWS50</t>
  </si>
  <si>
    <t>12014201</t>
  </si>
  <si>
    <t>12014205</t>
  </si>
  <si>
    <t>12104201</t>
  </si>
  <si>
    <t>360  /  R2+TK%  /  Bb_Plan  /  A4  /  ZS2</t>
  </si>
  <si>
    <t>12104205</t>
  </si>
  <si>
    <t>360  /  R2+TK%  /  Bb_Plan  /  A4  /  ZS2  /  UWS50</t>
  </si>
  <si>
    <t>12114201</t>
  </si>
  <si>
    <t>12114205</t>
  </si>
  <si>
    <t>12204201</t>
  </si>
  <si>
    <t>360  /  R2+TK2_RW  /  Bb_Plan  /  A4  /  ZS2</t>
  </si>
  <si>
    <t>12204205</t>
  </si>
  <si>
    <t>360  /  R2+TK2_RW  /  Bb_Plan  /  A4  /  ZS2  /  UWS50</t>
  </si>
  <si>
    <t>12214201</t>
  </si>
  <si>
    <t>12214205</t>
  </si>
  <si>
    <t>Wartefrist 360 Tage</t>
  </si>
  <si>
    <t>Wartefrist 720 Tage</t>
  </si>
  <si>
    <t>In den Spalten AB bis AC können eigene Hinweise eingegeben werden.</t>
  </si>
  <si>
    <t>TK in % versicherter Lohn</t>
  </si>
  <si>
    <t>TK Altersguthaben</t>
  </si>
  <si>
    <t>kein Todesfallkapital</t>
  </si>
  <si>
    <t>Bb gemäss BVG</t>
  </si>
  <si>
    <t>Bb gemäss Plan</t>
  </si>
  <si>
    <t>(immer Null)</t>
  </si>
  <si>
    <t>SE 50+</t>
  </si>
  <si>
    <t>AN oder SE –50</t>
  </si>
  <si>
    <t>immer _</t>
  </si>
  <si>
    <t>R1/720 Tage</t>
  </si>
  <si>
    <t>R2/720 Tage</t>
  </si>
  <si>
    <t>R1/360 Tage</t>
  </si>
  <si>
    <t>R2/360 Tage</t>
  </si>
  <si>
    <t>R2 (in % versicherter Lohn)</t>
  </si>
  <si>
    <t>Decodierung Plannummer / Personenkreis</t>
  </si>
  <si>
    <t>Plannummer:</t>
  </si>
  <si>
    <t>Personenkreis:</t>
  </si>
  <si>
    <t>ohne Zusatzsparen</t>
  </si>
  <si>
    <t>21004201</t>
  </si>
  <si>
    <t>720  /  R1  /  Bb_Plan  /  A4  /  ZS2</t>
  </si>
  <si>
    <t>21004205</t>
  </si>
  <si>
    <t>720  /  R1  /  Bb_Plan  /  A4  /  ZS2  /  UWS50</t>
  </si>
  <si>
    <t>21014201</t>
  </si>
  <si>
    <t>21014205</t>
  </si>
  <si>
    <t>21104201</t>
  </si>
  <si>
    <t>720  /  R1+TK%  /  Bb_Plan  /  A4  /  ZS2</t>
  </si>
  <si>
    <t>21104205</t>
  </si>
  <si>
    <t>720  /  R1+TK%  /  Bb_Plan  /  A4  /  ZS2  /  UWS50</t>
  </si>
  <si>
    <t>21114201</t>
  </si>
  <si>
    <t>21114205</t>
  </si>
  <si>
    <t>21204201</t>
  </si>
  <si>
    <t>720  /  R1+TK2_RW  /  Bb_Plan  /  A4  /  ZS2</t>
  </si>
  <si>
    <t>21204205</t>
  </si>
  <si>
    <t>Die Risikobeurteilung und die definitive Aufnahmebestätigung erfolgen ausschliesslich durch die PAT-BVG.</t>
  </si>
  <si>
    <t>720  /  R1+TK2_RW  /  Bb_Plan  /  A4  /  ZS2  /  UWS50</t>
  </si>
  <si>
    <t>21214201</t>
  </si>
  <si>
    <t>21214205</t>
  </si>
  <si>
    <t>22004201</t>
  </si>
  <si>
    <t>720  /  R2  /  Bb_Plan  /  A4  /  ZS2</t>
  </si>
  <si>
    <t>22004205</t>
  </si>
  <si>
    <t>720  /  R2  /  Bb_Plan  /  A4  /  ZS2  /  UWS50</t>
  </si>
  <si>
    <t>22014201</t>
  </si>
  <si>
    <t>22014205</t>
  </si>
  <si>
    <t>22104201</t>
  </si>
  <si>
    <t>720  /  R2+TK%  /  Bb_Plan  /  A4  /  ZS2</t>
  </si>
  <si>
    <t>22104205</t>
  </si>
  <si>
    <t>720  /  R2+TK%  /  Bb_Plan  /  A4  /  ZS2  /  UWS50</t>
  </si>
  <si>
    <t>22114201</t>
  </si>
  <si>
    <t>22114205</t>
  </si>
  <si>
    <t>22204201</t>
  </si>
  <si>
    <t>720  /  R2+TK2_RW  /  Bb_Plan  /  A4  /  ZS2</t>
  </si>
  <si>
    <t>22204205</t>
  </si>
  <si>
    <t>720  /  R2+TK2_RW  /  Bb_Plan  /  A4  /  ZS2  /  UWS50</t>
  </si>
  <si>
    <t>22214201</t>
  </si>
  <si>
    <t>22214205</t>
  </si>
  <si>
    <t>durch 12</t>
  </si>
  <si>
    <t>Altersgruppe</t>
  </si>
  <si>
    <t>Arbeitnehmer</t>
  </si>
  <si>
    <t>Arbeitgeber</t>
  </si>
  <si>
    <t>Input</t>
  </si>
  <si>
    <t>50004201</t>
  </si>
  <si>
    <t>Plan ab AHV-Alter  /  A4  /  ZS2</t>
  </si>
  <si>
    <t>50004205</t>
  </si>
  <si>
    <t>SE 50+ Plan ab AHV-Alter  /  A4  /  ZS2</t>
  </si>
  <si>
    <t>11005001</t>
  </si>
  <si>
    <t>360  /  R1  /  Bb_Plan  /  A5</t>
  </si>
  <si>
    <t>11005005</t>
  </si>
  <si>
    <t>360  /  R1  /  Bb_Plan  /  A5  /  UWS50</t>
  </si>
  <si>
    <t>11015001</t>
  </si>
  <si>
    <t>11015005</t>
  </si>
  <si>
    <t>11105001</t>
  </si>
  <si>
    <t>360  /  R1+TK%  /  Bb_Plan  /  A5</t>
  </si>
  <si>
    <t>11105005</t>
  </si>
  <si>
    <t>360  /  R1+TK%  /  Bb_Plan  /  A5  /  UWS50</t>
  </si>
  <si>
    <t>11115001</t>
  </si>
  <si>
    <t>11115005</t>
  </si>
  <si>
    <t>11205001</t>
  </si>
  <si>
    <t xml:space="preserve">             Sparguthaben ausweisen?*</t>
  </si>
  <si>
    <t>nicht nach</t>
  </si>
  <si>
    <t>360  /  R1+TK2_RW  /  Bb_Plan  /  A5</t>
  </si>
  <si>
    <t>11205005</t>
  </si>
  <si>
    <t>360  /  R1+TK2_RW  /  Bb_Plan  /  A5  /  UWS50</t>
  </si>
  <si>
    <t>11215001</t>
  </si>
  <si>
    <t>11215005</t>
  </si>
  <si>
    <t>12005001</t>
  </si>
  <si>
    <t>360  /  R2  /  Bb_Plan  /  A5</t>
  </si>
  <si>
    <t>12005005</t>
  </si>
  <si>
    <t>360  /  R2  /  Bb_Plan  /  A5  /  UWS50</t>
  </si>
  <si>
    <t>12015001</t>
  </si>
  <si>
    <t>12015005</t>
  </si>
  <si>
    <t>12105001</t>
  </si>
  <si>
    <t>360  /  R2+TK%  /  Bb_Plan  /  A5</t>
  </si>
  <si>
    <t>12105005</t>
  </si>
  <si>
    <t>360  /  R2+TK%  /  Bb_Plan  /  A5  /  UWS50</t>
  </si>
  <si>
    <t>12115001</t>
  </si>
  <si>
    <t>12115005</t>
  </si>
  <si>
    <t>12205001</t>
  </si>
  <si>
    <t>360  /  R2+TK2_RW  /  Bb_Plan  /  A5</t>
  </si>
  <si>
    <t>12205005</t>
  </si>
  <si>
    <t>360  /  R2+TK2_RW  /  Bb_Plan  /  A5  /  UWS50</t>
  </si>
  <si>
    <t>12215001</t>
  </si>
  <si>
    <t>12215005</t>
  </si>
  <si>
    <t>21005001</t>
  </si>
  <si>
    <t>720  /  R1  /  Bb_Plan  /  A5</t>
  </si>
  <si>
    <t>21005005</t>
  </si>
  <si>
    <t>720  /  R1  /  Bb_Plan  /  A5  /  UWS50</t>
  </si>
  <si>
    <t>21015001</t>
  </si>
  <si>
    <t>21015005</t>
  </si>
  <si>
    <t>21105001</t>
  </si>
  <si>
    <t>720  /  R1+TK%  /  Bb_Plan  /  A5</t>
  </si>
  <si>
    <t>Erstellt durch</t>
  </si>
  <si>
    <t>21105005</t>
  </si>
  <si>
    <t>720  /  R1+TK%  /  Bb_Plan  /  A5  /  UWS50</t>
  </si>
  <si>
    <t>21115001</t>
  </si>
  <si>
    <t>21115005</t>
  </si>
  <si>
    <t>21205001</t>
  </si>
  <si>
    <t>720  /  R1+TK2_RW  /  Bb_Plan  /  A5</t>
  </si>
  <si>
    <t>21205005</t>
  </si>
  <si>
    <t>720  /  R1+TK2_RW  /  Bb_Plan  /  A5  /  UWS50</t>
  </si>
  <si>
    <t>21215001</t>
  </si>
  <si>
    <t>21215005</t>
  </si>
  <si>
    <t>22005001</t>
  </si>
  <si>
    <t>720  /  R2  /  Bb_Plan  /  A5</t>
  </si>
  <si>
    <t>22005005</t>
  </si>
  <si>
    <t>720  /  R2  /  Bb_Plan  /  A5  /  UWS50</t>
  </si>
  <si>
    <t>22015001</t>
  </si>
  <si>
    <t>22015005</t>
  </si>
  <si>
    <t>22105001</t>
  </si>
  <si>
    <t>720  /  R2+TK%  /  Bb_Plan  /  A5</t>
  </si>
  <si>
    <t>22105005</t>
  </si>
  <si>
    <t>720  /  R2+TK%  /  Bb_Plan  /  A5  /  UWS50</t>
  </si>
  <si>
    <t>22115001</t>
  </si>
  <si>
    <t>22115005</t>
  </si>
  <si>
    <t>22205001</t>
  </si>
  <si>
    <t>720  /  R2+TK2_RW  /  Bb_Plan  /  A5</t>
  </si>
  <si>
    <t>22205005</t>
  </si>
  <si>
    <t>Regl.</t>
  </si>
  <si>
    <t>720  /  R2+TK2_RW  /  Bb_Plan  /  A5  /  UWS50</t>
  </si>
  <si>
    <t>22215001</t>
  </si>
  <si>
    <t>22215005</t>
  </si>
  <si>
    <t>50005001</t>
  </si>
  <si>
    <t xml:space="preserve">Plan ab AHV-Alter  /  A5  /  </t>
  </si>
  <si>
    <t>50005005</t>
  </si>
  <si>
    <t xml:space="preserve">SE 50+ Plan ab AHV-Alter  /  A5  /  </t>
  </si>
  <si>
    <t>11005101</t>
  </si>
  <si>
    <t>360  /  R1  /  Bb_Plan  /  A5  /  ZS1</t>
  </si>
  <si>
    <t>11005105</t>
  </si>
  <si>
    <t>360  /  R1  /  Bb_Plan  /  A5  /  ZS1  /  UWS50</t>
  </si>
  <si>
    <t>11015101</t>
  </si>
  <si>
    <t>11015105</t>
  </si>
  <si>
    <t>11105101</t>
  </si>
  <si>
    <t>360  /  R1+TK%  /  Bb_Plan  /  A5  /  ZS1</t>
  </si>
  <si>
    <t>11105105</t>
  </si>
  <si>
    <t>360  /  R1+TK%  /  Bb_Plan  /  A5  /  ZS1  /  UWS50</t>
  </si>
  <si>
    <t>11115101</t>
  </si>
  <si>
    <t>11115105</t>
  </si>
  <si>
    <t>11205101</t>
  </si>
  <si>
    <t>360  /  R1+TK2_RW  /  Bb_Plan  /  A5  /  ZS1</t>
  </si>
  <si>
    <t>11205105</t>
  </si>
  <si>
    <t>360  /  R1+TK2_RW  /  Bb_Plan  /  A5  /  ZS1  /  UWS50</t>
  </si>
  <si>
    <t>11215101</t>
  </si>
  <si>
    <t>11215105</t>
  </si>
  <si>
    <t>12005101</t>
  </si>
  <si>
    <t>360  /  R2  /  Bb_Plan  /  A5  /  ZS1</t>
  </si>
  <si>
    <t>12005105</t>
  </si>
  <si>
    <t>360  /  R2  /  Bb_Plan  /  A5  /  ZS1  /  UWS50</t>
  </si>
  <si>
    <t>12015101</t>
  </si>
  <si>
    <t>Gutschr.
Plan o.Z.</t>
  </si>
  <si>
    <t>Gutschr.
Monate</t>
  </si>
  <si>
    <t>12015105</t>
  </si>
  <si>
    <t>12105101</t>
  </si>
  <si>
    <t>360  /  R2+TK%  /  Bb_Plan  /  A5  /  ZS1</t>
  </si>
  <si>
    <t>12105105</t>
  </si>
  <si>
    <t>360  /  R2+TK%  /  Bb_Plan  /  A5  /  ZS1  /  UWS50</t>
  </si>
  <si>
    <t>12115101</t>
  </si>
  <si>
    <t>12115105</t>
  </si>
  <si>
    <t>12205101</t>
  </si>
  <si>
    <t>360  /  R2+TK2_RW  /  Bb_Plan  /  A5  /  ZS1</t>
  </si>
  <si>
    <t>12205105</t>
  </si>
  <si>
    <t>360  /  R2+TK2_RW  /  Bb_Plan  /  A5  /  ZS1  /  UWS50</t>
  </si>
  <si>
    <t>12215101</t>
  </si>
  <si>
    <t>12215105</t>
  </si>
  <si>
    <t>21005101</t>
  </si>
  <si>
    <t>720  /  R1  /  Bb_Plan  /  A5  /  ZS1</t>
  </si>
  <si>
    <t>21005105</t>
  </si>
  <si>
    <t>720  /  R1  /  Bb_Plan  /  A5  /  ZS1  /  UWS50</t>
  </si>
  <si>
    <t>21015101</t>
  </si>
  <si>
    <t>21015105</t>
  </si>
  <si>
    <t>21105101</t>
  </si>
  <si>
    <t>720  /  R1+TK%  /  Bb_Plan  /  A5  /  ZS1</t>
  </si>
  <si>
    <t>21105105</t>
  </si>
  <si>
    <t>720  /  R1+TK%  /  Bb_Plan  /  A5  /  ZS1  /  UWS50</t>
  </si>
  <si>
    <t>21115101</t>
  </si>
  <si>
    <t>21115105</t>
  </si>
  <si>
    <t>21205101</t>
  </si>
  <si>
    <t>720  /  R1+TK2_RW  /  Bb_Plan  /  A5  /  ZS1</t>
  </si>
  <si>
    <t>21205105</t>
  </si>
  <si>
    <t>720  /  R1+TK2_RW  /  Bb_Plan  /  A5  /  ZS1  /  UWS50</t>
  </si>
  <si>
    <t>21215101</t>
  </si>
  <si>
    <t>21215105</t>
  </si>
  <si>
    <t>22005101</t>
  </si>
  <si>
    <t>720  /  R2  /  Bb_Plan  /  A5  /  ZS1</t>
  </si>
  <si>
    <t>22005105</t>
  </si>
  <si>
    <t>720  /  R2  /  Bb_Plan  /  A5  /  ZS1  /  UWS50</t>
  </si>
  <si>
    <t>22015101</t>
  </si>
  <si>
    <t>22015105</t>
  </si>
  <si>
    <t>22105101</t>
  </si>
  <si>
    <t>720  /  R2+TK%  /  Bb_Plan  /  A5  /  ZS1</t>
  </si>
  <si>
    <t>22105105</t>
  </si>
  <si>
    <t>720  /  R2+TK%  /  Bb_Plan  /  A5  /  ZS1  /  UWS50</t>
  </si>
  <si>
    <t>22115101</t>
  </si>
  <si>
    <t>22115105</t>
  </si>
  <si>
    <t>22205101</t>
  </si>
  <si>
    <t>720  /  R2+TK2_RW  /  Bb_Plan  /  A5  /  ZS1</t>
  </si>
  <si>
    <t>22205105</t>
  </si>
  <si>
    <t>720  /  R2+TK2_RW  /  Bb_Plan  /  A5  /  ZS1  /  UWS50</t>
  </si>
  <si>
    <t>22215101</t>
  </si>
  <si>
    <t>22215105</t>
  </si>
  <si>
    <t>50005101</t>
  </si>
  <si>
    <t>Plan ab AHV-Alter  /  A5  /  ZS1</t>
  </si>
  <si>
    <t>50005105</t>
  </si>
  <si>
    <t>SE 50+ Plan ab AHV-Alter  /  A5  /  ZS1</t>
  </si>
  <si>
    <t>11005201</t>
  </si>
  <si>
    <t>360  /  R1  /  Bb_Plan  /  A5  /  ZS2</t>
  </si>
  <si>
    <t>11005205</t>
  </si>
  <si>
    <t>360  /  R1  /  Bb_Plan  /  A5  /  ZS2  /  UWS50</t>
  </si>
  <si>
    <t>11015201</t>
  </si>
  <si>
    <t>5  VL = 1/2 Koordinationsabzug</t>
  </si>
  <si>
    <t>11015205</t>
  </si>
  <si>
    <t>11105201</t>
  </si>
  <si>
    <t>360  /  R1+TK%  /  Bb_Plan  /  A5  /  ZS2</t>
  </si>
  <si>
    <t>11105205</t>
  </si>
  <si>
    <t>360  /  R1+TK%  /  Bb_Plan  /  A5  /  ZS2  /  UWS50</t>
  </si>
  <si>
    <t>11115201</t>
  </si>
  <si>
    <t>11115205</t>
  </si>
  <si>
    <t>11205201</t>
  </si>
  <si>
    <t>360  /  R1+TK2_RW  /  Bb_Plan  /  A5  /  ZS2</t>
  </si>
  <si>
    <t>11205205</t>
  </si>
  <si>
    <t>360  /  R1+TK2_RW  /  Bb_Plan  /  A5  /  ZS2  /  UWS50</t>
  </si>
  <si>
    <t>11215201</t>
  </si>
  <si>
    <t>11215205</t>
  </si>
  <si>
    <t>12005201</t>
  </si>
  <si>
    <t>360  /  R2  /  Bb_Plan  /  A5  /  ZS2</t>
  </si>
  <si>
    <t>12005205</t>
  </si>
  <si>
    <t>360  /  R2  /  Bb_Plan  /  A5  /  ZS2  /  UWS50</t>
  </si>
  <si>
    <t>12015201</t>
  </si>
  <si>
    <t>12015205</t>
  </si>
  <si>
    <t>12105201</t>
  </si>
  <si>
    <t>360  /  R2+TK%  /  Bb_Plan  /  A5  /  ZS2</t>
  </si>
  <si>
    <t>12105205</t>
  </si>
  <si>
    <t>360  /  R2+TK%  /  Bb_Plan  /  A5  /  ZS2  /  UWS50</t>
  </si>
  <si>
    <t>12115201</t>
  </si>
  <si>
    <t>12115205</t>
  </si>
  <si>
    <t>12205201</t>
  </si>
  <si>
    <t>360  /  R2+TK2_RW  /  Bb_Plan  /  A5  /  ZS2</t>
  </si>
  <si>
    <t>12205205</t>
  </si>
  <si>
    <t>360  /  R2+TK2_RW  /  Bb_Plan  /  A5  /  ZS2  /  UWS50</t>
  </si>
  <si>
    <t>12215201</t>
  </si>
  <si>
    <t>12215205</t>
  </si>
  <si>
    <t>21005201</t>
  </si>
  <si>
    <t>720  /  R1  /  Bb_Plan  /  A5  /  ZS2</t>
  </si>
  <si>
    <t>21005205</t>
  </si>
  <si>
    <t>720  /  R1  /  Bb_Plan  /  A5  /  ZS2  /  UWS50</t>
  </si>
  <si>
    <t>21015201</t>
  </si>
  <si>
    <t>21015205</t>
  </si>
  <si>
    <t>21105201</t>
  </si>
  <si>
    <t>720  /  R1+TK%  /  Bb_Plan  /  A5  /  ZS2</t>
  </si>
  <si>
    <t>21105205</t>
  </si>
  <si>
    <t>720  /  R1+TK%  /  Bb_Plan  /  A5  /  ZS2  /  UWS50</t>
  </si>
  <si>
    <t>21115201</t>
  </si>
  <si>
    <t>21115205</t>
  </si>
  <si>
    <t>21205201</t>
  </si>
  <si>
    <t>720  /  R1+TK2_RW  /  Bb_Plan  /  A5  /  ZS2</t>
  </si>
  <si>
    <t>21205205</t>
  </si>
  <si>
    <t>720  /  R1+TK2_RW  /  Bb_Plan  /  A5  /  ZS2  /  UWS50</t>
  </si>
  <si>
    <t>21215201</t>
  </si>
  <si>
    <t>21215205</t>
  </si>
  <si>
    <t>22005201</t>
  </si>
  <si>
    <t>720  /  R2  /  Bb_Plan  /  A5  /  ZS2</t>
  </si>
  <si>
    <t>22005205</t>
  </si>
  <si>
    <t>720  /  R2  /  Bb_Plan  /  A5  /  ZS2  /  UWS50</t>
  </si>
  <si>
    <t>22015201</t>
  </si>
  <si>
    <t>22015205</t>
  </si>
  <si>
    <t>22105201</t>
  </si>
  <si>
    <t>720  /  R2+TK%  /  Bb_Plan  /  A5  /  ZS2</t>
  </si>
  <si>
    <t>22105205</t>
  </si>
  <si>
    <t>720  /  R2+TK%  /  Bb_Plan  /  A5  /  ZS2  /  UWS50</t>
  </si>
  <si>
    <t>22115201</t>
  </si>
  <si>
    <t>22115205</t>
  </si>
  <si>
    <t>22205201</t>
  </si>
  <si>
    <t>720  /  R2+TK2_RW  /  Bb_Plan  /  A5  /  ZS2</t>
  </si>
  <si>
    <t>22205205</t>
  </si>
  <si>
    <t>720  /  R2+TK2_RW  /  Bb_Plan  /  A5  /  ZS2  /  UWS50</t>
  </si>
  <si>
    <t>22215201</t>
  </si>
  <si>
    <t>22215205</t>
  </si>
  <si>
    <t>50005201</t>
  </si>
  <si>
    <t>Plan ab AHV-Alter  /  A5  /  ZS2</t>
  </si>
  <si>
    <t>50005205</t>
  </si>
  <si>
    <t>SE 50+ Plan ab AHV-Alter  /  A5  /  ZS2</t>
  </si>
  <si>
    <t>Geschlecht</t>
  </si>
  <si>
    <t>A1</t>
  </si>
  <si>
    <t>A2</t>
  </si>
  <si>
    <t>A3</t>
  </si>
  <si>
    <t>A4</t>
  </si>
  <si>
    <t>A5</t>
  </si>
  <si>
    <t>Altersvorsorge</t>
  </si>
  <si>
    <t>A</t>
  </si>
  <si>
    <t>ZS</t>
  </si>
  <si>
    <t>Zusatzsparen</t>
  </si>
  <si>
    <t>ZS1</t>
  </si>
  <si>
    <t>ZS2</t>
  </si>
  <si>
    <t>R</t>
  </si>
  <si>
    <t>Risikobeiträge</t>
  </si>
  <si>
    <t>TK</t>
  </si>
  <si>
    <t>Todesfallkapital</t>
  </si>
  <si>
    <t>R1</t>
  </si>
  <si>
    <t>TK2</t>
  </si>
  <si>
    <t>Beitragsbefreiung</t>
  </si>
  <si>
    <t>L</t>
  </si>
  <si>
    <t>versicherter Lohn</t>
  </si>
  <si>
    <t>Risikoversicherung</t>
  </si>
  <si>
    <t>L1</t>
  </si>
  <si>
    <t>L2</t>
  </si>
  <si>
    <t>L3</t>
  </si>
  <si>
    <t>L4</t>
  </si>
  <si>
    <t>Alter</t>
  </si>
  <si>
    <t>Name</t>
  </si>
  <si>
    <t>AHV-Nummer</t>
  </si>
  <si>
    <t>18-24</t>
  </si>
  <si>
    <t>25-34</t>
  </si>
  <si>
    <t>35-44</t>
  </si>
  <si>
    <t>45-54</t>
  </si>
  <si>
    <t>55-65</t>
  </si>
  <si>
    <t>BbA1</t>
  </si>
  <si>
    <t>BbA2</t>
  </si>
  <si>
    <t>BbA3</t>
  </si>
  <si>
    <t>BbA4</t>
  </si>
  <si>
    <t>BbA5</t>
  </si>
  <si>
    <t>BbZS1</t>
  </si>
  <si>
    <t>BbZS2</t>
  </si>
  <si>
    <t>%</t>
  </si>
  <si>
    <t>nein</t>
  </si>
  <si>
    <t>Sparbeiträge</t>
  </si>
  <si>
    <t>R2/30</t>
  </si>
  <si>
    <t>R2/35</t>
  </si>
  <si>
    <t>R2/40</t>
  </si>
  <si>
    <t>R2/45</t>
  </si>
  <si>
    <t>R2/50</t>
  </si>
  <si>
    <t>R2/55</t>
  </si>
  <si>
    <t>R2/60</t>
  </si>
  <si>
    <t>Beitragsbefreiung A</t>
  </si>
  <si>
    <t>Beitragsbefreiung ZS</t>
  </si>
  <si>
    <t>TK1/50</t>
  </si>
  <si>
    <t>TK1/100</t>
  </si>
  <si>
    <t>TK1/150</t>
  </si>
  <si>
    <t>TK1/200</t>
  </si>
  <si>
    <t>Bb</t>
  </si>
  <si>
    <t>Total</t>
  </si>
  <si>
    <t>R2/10</t>
  </si>
  <si>
    <t>R2/15</t>
  </si>
  <si>
    <t>R2/20</t>
  </si>
  <si>
    <t>R2/25</t>
  </si>
  <si>
    <t>VK</t>
  </si>
  <si>
    <t>Verwaltungskosten</t>
  </si>
  <si>
    <t>720 Tage</t>
  </si>
  <si>
    <t>360 Tage</t>
  </si>
  <si>
    <t>Wartefrist</t>
  </si>
  <si>
    <r>
      <t>TK</t>
    </r>
    <r>
      <rPr>
        <vertAlign val="superscript"/>
        <sz val="11"/>
        <rFont val="Arial"/>
        <family val="2"/>
      </rPr>
      <t>2</t>
    </r>
  </si>
  <si>
    <t>HauptV</t>
  </si>
  <si>
    <t>BVG</t>
  </si>
  <si>
    <t>Invalidenkinderrente</t>
  </si>
  <si>
    <t>Ehe-/Lebenspartnerrente</t>
  </si>
  <si>
    <t>Waisenrente</t>
  </si>
  <si>
    <t>Vollwaisenrente</t>
  </si>
  <si>
    <r>
      <t>L</t>
    </r>
    <r>
      <rPr>
        <vertAlign val="superscript"/>
        <sz val="11"/>
        <rFont val="Arial"/>
        <family val="2"/>
      </rPr>
      <t>1</t>
    </r>
  </si>
  <si>
    <r>
      <t>L</t>
    </r>
    <r>
      <rPr>
        <vertAlign val="superscript"/>
        <sz val="11"/>
        <rFont val="Arial"/>
        <family val="2"/>
      </rPr>
      <t>2/Pensum</t>
    </r>
  </si>
  <si>
    <r>
      <t>L</t>
    </r>
    <r>
      <rPr>
        <vertAlign val="superscript"/>
        <sz val="11"/>
        <rFont val="Arial"/>
        <family val="2"/>
      </rPr>
      <t>3</t>
    </r>
  </si>
  <si>
    <r>
      <t>L</t>
    </r>
    <r>
      <rPr>
        <vertAlign val="superscript"/>
        <sz val="11"/>
        <rFont val="Arial"/>
        <family val="2"/>
      </rPr>
      <t>4</t>
    </r>
  </si>
  <si>
    <r>
      <t>A</t>
    </r>
    <r>
      <rPr>
        <vertAlign val="superscript"/>
        <sz val="11"/>
        <rFont val="Arial"/>
        <family val="2"/>
      </rPr>
      <t>1</t>
    </r>
  </si>
  <si>
    <r>
      <t>A</t>
    </r>
    <r>
      <rPr>
        <vertAlign val="superscript"/>
        <sz val="11"/>
        <rFont val="Arial"/>
        <family val="2"/>
      </rPr>
      <t>2</t>
    </r>
  </si>
  <si>
    <r>
      <t>A</t>
    </r>
    <r>
      <rPr>
        <vertAlign val="superscript"/>
        <sz val="11"/>
        <rFont val="Arial"/>
        <family val="2"/>
      </rPr>
      <t>3</t>
    </r>
  </si>
  <si>
    <r>
      <t>A</t>
    </r>
    <r>
      <rPr>
        <vertAlign val="superscript"/>
        <sz val="11"/>
        <rFont val="Arial"/>
        <family val="2"/>
      </rPr>
      <t>4</t>
    </r>
  </si>
  <si>
    <r>
      <t>A</t>
    </r>
    <r>
      <rPr>
        <vertAlign val="superscript"/>
        <sz val="11"/>
        <rFont val="Arial"/>
        <family val="2"/>
      </rPr>
      <t>5</t>
    </r>
  </si>
  <si>
    <r>
      <t>ZS</t>
    </r>
    <r>
      <rPr>
        <vertAlign val="superscript"/>
        <sz val="11"/>
        <rFont val="Arial"/>
        <family val="2"/>
      </rPr>
      <t>0</t>
    </r>
    <r>
      <rPr>
        <sz val="11"/>
        <rFont val="Arial"/>
        <family val="2"/>
      </rPr>
      <t xml:space="preserve"> (nein)</t>
    </r>
  </si>
  <si>
    <r>
      <t>ZS</t>
    </r>
    <r>
      <rPr>
        <vertAlign val="superscript"/>
        <sz val="11"/>
        <rFont val="Arial"/>
        <family val="2"/>
      </rPr>
      <t>1</t>
    </r>
  </si>
  <si>
    <r>
      <t>ZS</t>
    </r>
    <r>
      <rPr>
        <vertAlign val="superscript"/>
        <sz val="11"/>
        <rFont val="Arial"/>
        <family val="2"/>
      </rPr>
      <t>2</t>
    </r>
  </si>
  <si>
    <r>
      <t>R</t>
    </r>
    <r>
      <rPr>
        <vertAlign val="superscript"/>
        <sz val="11"/>
        <rFont val="Arial"/>
        <family val="2"/>
      </rPr>
      <t>1</t>
    </r>
  </si>
  <si>
    <t>UnterV</t>
  </si>
  <si>
    <r>
      <t>TK</t>
    </r>
    <r>
      <rPr>
        <vertAlign val="superscript"/>
        <sz val="11"/>
        <rFont val="Arial"/>
        <family val="2"/>
      </rPr>
      <t>0</t>
    </r>
    <r>
      <rPr>
        <sz val="11"/>
        <rFont val="Arial"/>
        <family val="2"/>
      </rPr>
      <t xml:space="preserve"> (nein)</t>
    </r>
  </si>
  <si>
    <r>
      <t>TK</t>
    </r>
    <r>
      <rPr>
        <vertAlign val="superscript"/>
        <sz val="11"/>
        <rFont val="Arial"/>
        <family val="2"/>
      </rPr>
      <t>1/50-200%</t>
    </r>
  </si>
  <si>
    <r>
      <t>Bb</t>
    </r>
    <r>
      <rPr>
        <vertAlign val="superscript"/>
        <sz val="11"/>
        <rFont val="Arial"/>
        <family val="2"/>
      </rPr>
      <t>1</t>
    </r>
    <r>
      <rPr>
        <sz val="11"/>
        <rFont val="Arial"/>
        <family val="2"/>
      </rPr>
      <t xml:space="preserve"> (Min.)</t>
    </r>
  </si>
  <si>
    <t>Zusatzbeiträge bis 6%</t>
  </si>
  <si>
    <r>
      <t>Bb</t>
    </r>
    <r>
      <rPr>
        <sz val="10"/>
        <rFont val="Arial"/>
        <family val="2"/>
      </rPr>
      <t>A</t>
    </r>
  </si>
  <si>
    <r>
      <t>Bb</t>
    </r>
    <r>
      <rPr>
        <sz val="10"/>
        <rFont val="Arial"/>
        <family val="2"/>
      </rPr>
      <t>ZS</t>
    </r>
  </si>
  <si>
    <t>Projektionszinssatz</t>
  </si>
  <si>
    <t>Umwandlungssatz</t>
  </si>
  <si>
    <t>2018 ff.</t>
  </si>
  <si>
    <t>10% vL</t>
  </si>
  <si>
    <t>15% vL</t>
  </si>
  <si>
    <t>20% vL</t>
  </si>
  <si>
    <t>25% vL</t>
  </si>
  <si>
    <t>30% vL</t>
  </si>
  <si>
    <t>35% vL</t>
  </si>
  <si>
    <t>40% vL</t>
  </si>
  <si>
    <t>45% vL</t>
  </si>
  <si>
    <t>50% vL</t>
  </si>
  <si>
    <t>55% vL</t>
  </si>
  <si>
    <t>60% vL</t>
  </si>
  <si>
    <t>Invalidenrente</t>
  </si>
  <si>
    <t>20% InvR</t>
  </si>
  <si>
    <t xml:space="preserve"> </t>
  </si>
  <si>
    <t>100% vL</t>
  </si>
  <si>
    <t>150% vL</t>
  </si>
  <si>
    <t>200% vL</t>
  </si>
  <si>
    <t>AHV-pflichtiger Jahreslohn</t>
  </si>
  <si>
    <t>Lohnmodul</t>
  </si>
  <si>
    <t>keine</t>
  </si>
  <si>
    <t>Code</t>
  </si>
  <si>
    <t>1949 ff.</t>
  </si>
  <si>
    <t>Einkäufe</t>
  </si>
  <si>
    <t>Versicherter Lohn</t>
  </si>
  <si>
    <t>Module</t>
  </si>
  <si>
    <t>Einkaufspotential</t>
  </si>
  <si>
    <t>Tabellenwert A</t>
  </si>
  <si>
    <t>Tabellenwert ZS</t>
  </si>
  <si>
    <t>ZS nein</t>
  </si>
  <si>
    <t>ZS0</t>
  </si>
  <si>
    <t>Jahr</t>
  </si>
  <si>
    <t>Beitragssätze</t>
  </si>
  <si>
    <t>Mann</t>
  </si>
  <si>
    <t>Frau</t>
  </si>
  <si>
    <t>Kalenderjahr</t>
  </si>
  <si>
    <t>Eintrittsschwelle</t>
  </si>
  <si>
    <t>Fr./Monat</t>
  </si>
  <si>
    <t>Fr./Jahr</t>
  </si>
  <si>
    <t>Arbeitgeberanteil 50 %; anderer:</t>
  </si>
  <si>
    <t>vers.
Lohn</t>
  </si>
  <si>
    <t>Mindestjahreslohn</t>
  </si>
  <si>
    <t>minimaler koord. Lohn</t>
  </si>
  <si>
    <t>Koordinationsabzug</t>
  </si>
  <si>
    <t>1/3 Koordinationsabzug</t>
  </si>
  <si>
    <t>obere Limite</t>
  </si>
  <si>
    <t>UVG-Maximum</t>
  </si>
  <si>
    <t>koordinierter Lohn</t>
  </si>
  <si>
    <t>BVG-Maximum</t>
  </si>
  <si>
    <t>IVG-BVG</t>
  </si>
  <si>
    <t>Guthaben
12 Mt.</t>
  </si>
  <si>
    <t>Kapital</t>
  </si>
  <si>
    <t>Rente/Monat</t>
  </si>
  <si>
    <t>Rente/Jahr</t>
  </si>
  <si>
    <t>UWS</t>
  </si>
  <si>
    <t>Gutschr.
12 Mt.</t>
  </si>
  <si>
    <t xml:space="preserve">kod.
</t>
  </si>
  <si>
    <t>voraussichtliche Altersleistungen</t>
  </si>
  <si>
    <t>BVG Min.:
Guth. 12 Mt.</t>
  </si>
  <si>
    <t>Alterskinderrente</t>
  </si>
  <si>
    <t>BVG Min.:
UWS BVG</t>
  </si>
  <si>
    <t>BVG Min.:
Rente BVG</t>
  </si>
  <si>
    <t>Rente</t>
  </si>
  <si>
    <t>Vergleich
(1 = BVG)</t>
  </si>
  <si>
    <t>VERSICHERTER LOHN</t>
  </si>
  <si>
    <t>R2/65</t>
  </si>
  <si>
    <t>R2/70</t>
  </si>
  <si>
    <t>65% vL</t>
  </si>
  <si>
    <t>70% vL</t>
  </si>
  <si>
    <t>ohne</t>
  </si>
  <si>
    <t>mit</t>
  </si>
  <si>
    <t>UVG</t>
  </si>
  <si>
    <t>Plafond</t>
  </si>
  <si>
    <t>Monat
vers.</t>
  </si>
  <si>
    <t>Monat
Geb.</t>
  </si>
  <si>
    <t>Monat
anr.</t>
  </si>
  <si>
    <t>Status/Alter bei PAT-Eintritt</t>
  </si>
  <si>
    <t>2.</t>
  </si>
  <si>
    <t>3.</t>
  </si>
  <si>
    <t>1.</t>
  </si>
  <si>
    <t>Alterskapital</t>
  </si>
  <si>
    <t>oder Jahresrente</t>
  </si>
  <si>
    <t>4.</t>
  </si>
  <si>
    <t>4.1</t>
  </si>
  <si>
    <t>4.2</t>
  </si>
  <si>
    <t>4.3</t>
  </si>
  <si>
    <t>2.1</t>
  </si>
  <si>
    <t>2.2</t>
  </si>
  <si>
    <t>2.3</t>
  </si>
  <si>
    <t>2.4</t>
  </si>
  <si>
    <t>2.5</t>
  </si>
  <si>
    <t>Verbindlich sind nur die Berechnungen durch die PAT-BVG.</t>
  </si>
  <si>
    <t>Vorbehalten bleiben Änderungen des versicherten Lohnes, des Reglements oder der Gesetze.</t>
  </si>
  <si>
    <t>3.1</t>
  </si>
  <si>
    <t>1.1</t>
  </si>
  <si>
    <t>1.2</t>
  </si>
  <si>
    <t>1.3</t>
  </si>
  <si>
    <t>1.4</t>
  </si>
  <si>
    <t>1.5</t>
  </si>
  <si>
    <t>Guthaben
o.Z. 12</t>
  </si>
  <si>
    <t>VERSICHERTE PERSON</t>
  </si>
  <si>
    <t>FREIWILLIGE EINKÄUFE</t>
  </si>
  <si>
    <t>GRUNDDATEN</t>
  </si>
  <si>
    <t>LEISTUNGEN</t>
  </si>
  <si>
    <t>BEITRÄGE</t>
  </si>
  <si>
    <t>MODULE</t>
  </si>
  <si>
    <t>L4 (AHV-Lohn)</t>
  </si>
  <si>
    <t>L3 (80% AHV-Lohn)</t>
  </si>
  <si>
    <t>L1 (BVG)</t>
  </si>
  <si>
    <t>L2 (BVG; nach BS-Grad)</t>
  </si>
  <si>
    <t>A1 (7/10/15/18%)</t>
  </si>
  <si>
    <t>A2 (11/12/15/18%)</t>
  </si>
  <si>
    <t>A3 (16,5/16,5/16,5/18%)</t>
  </si>
  <si>
    <t>A4 (20/20/20/20%)</t>
  </si>
  <si>
    <t>A5 (21/22/23/25%)</t>
  </si>
  <si>
    <t>kein Zusatzsparen</t>
  </si>
  <si>
    <t>ZS1 (2/2/2/0%)</t>
  </si>
  <si>
    <t>ZS2 (4/3/2/0%)</t>
  </si>
  <si>
    <t>R1 (gemäss BVG)</t>
  </si>
  <si>
    <t>R2 (10%)</t>
  </si>
  <si>
    <t>R2 (15%)</t>
  </si>
  <si>
    <t>R2 (20%)</t>
  </si>
  <si>
    <t>R2 (25%)</t>
  </si>
  <si>
    <t>R2 (30%)</t>
  </si>
  <si>
    <t>R2 (35%)</t>
  </si>
  <si>
    <t>R2 (40%)</t>
  </si>
  <si>
    <t>R2 (45%)</t>
  </si>
  <si>
    <t>R2 (50%)</t>
  </si>
  <si>
    <t>R2 (55%)</t>
  </si>
  <si>
    <t>R2 (60%)</t>
  </si>
  <si>
    <t>R2 (65%)</t>
  </si>
  <si>
    <t>R2 (70%)</t>
  </si>
  <si>
    <t>TK1 (200%)</t>
  </si>
  <si>
    <t>TK1 (150%)</t>
  </si>
  <si>
    <t>TK1 (100%)</t>
  </si>
  <si>
    <t>TK1 (50%)</t>
  </si>
  <si>
    <t>kein zusätzliches TK</t>
  </si>
  <si>
    <t>BB gemäss BVG-Minimum</t>
  </si>
  <si>
    <t>–</t>
  </si>
  <si>
    <t>R10%</t>
  </si>
  <si>
    <t>R15%</t>
  </si>
  <si>
    <t>R20%</t>
  </si>
  <si>
    <t>R25%</t>
  </si>
  <si>
    <t>R30%</t>
  </si>
  <si>
    <t>R35%</t>
  </si>
  <si>
    <t>R40%</t>
  </si>
  <si>
    <t>R45%</t>
  </si>
  <si>
    <t>R50%</t>
  </si>
  <si>
    <t>R55%</t>
  </si>
  <si>
    <t>R60%</t>
  </si>
  <si>
    <t>R65%</t>
  </si>
  <si>
    <t>R70%</t>
  </si>
  <si>
    <t>TK50%</t>
  </si>
  <si>
    <t>TK100%</t>
  </si>
  <si>
    <t>TK150%</t>
  </si>
  <si>
    <t>TK200%</t>
  </si>
  <si>
    <t>BbZS0</t>
  </si>
  <si>
    <t>ohne Plafond</t>
  </si>
  <si>
    <t>A.9</t>
  </si>
  <si>
    <t>Vorname</t>
  </si>
  <si>
    <t>Titel</t>
  </si>
  <si>
    <t>F.5</t>
  </si>
  <si>
    <t>Zuständig</t>
  </si>
  <si>
    <t>korrigiert</t>
  </si>
  <si>
    <t>in französisch und italienisch gemäss deutscher Version</t>
  </si>
  <si>
    <t>Telefonnummer</t>
  </si>
  <si>
    <t>E49:E54</t>
  </si>
  <si>
    <t>Formel TK-Beiträge (durch 2 teilbar)</t>
  </si>
  <si>
    <t>F49:F54</t>
  </si>
  <si>
    <t>minimaler Lohn variabel</t>
  </si>
  <si>
    <t>Bezeichnung (Andruck auf Outputs)</t>
  </si>
  <si>
    <t>SPEZIAL:</t>
  </si>
  <si>
    <t>WENN ALLES GEMÄSS BVG, AUCH LOHN</t>
  </si>
  <si>
    <t>360  /  R1  /  Bb_Plan  /  A1 / L1_gemäss BVG_gemäss BVG</t>
  </si>
  <si>
    <t>360  /  R1  /  Bb_Plan  /  A1  /  L1_gemäss BVG_gemäss BVG /UWS50</t>
  </si>
  <si>
    <t>720  /  R1  /  Bb_Plan  /  A1 / L1_gemäss BVG_gemäss BVG</t>
  </si>
  <si>
    <t>720  /  R1  /  Bb_Plan  /  A1  /  L1_gemäss BVG_gemäss BVG /UWS50</t>
  </si>
  <si>
    <t>aber höchstens abzüglich des Koordinationsabzug gemäss BVG versichert.</t>
  </si>
  <si>
    <t>b) dem Zusatzsparen: Es wurde kein Zusatzsparen gewählt.</t>
  </si>
  <si>
    <t>b) dem Zusatzsparen gemäss dem gewählten Modul ZS1.</t>
  </si>
  <si>
    <t>b) dem Zusatzsparen gemäss dem gewählten Modul ZS2.</t>
  </si>
  <si>
    <t>a) den Sparbeiträgen gemäss dem gewählten Modul A1;</t>
  </si>
  <si>
    <t>a) den Sparbeiträgen gemäss dem gewählten Modul A2;</t>
  </si>
  <si>
    <t>a) den Sparbeiträgen gemäss dem gewählten Modul A3;</t>
  </si>
  <si>
    <t>a) den Sparbeiträgen gemäss dem gewählten Modul A4;</t>
  </si>
  <si>
    <t>a) den Sparbeiträgen gemäss dem gewählten Modul A5;</t>
  </si>
  <si>
    <t>Gemäss gewähltem Modul wird ein zusätzliches Todesfallkapital von 50% des versicherten Lohns ausgerichtet.</t>
  </si>
  <si>
    <t>Gemäss gewähltem Modul wird ein zusätzliches Todesfallkapital von 100% des versicherten Lohns ausgerichtet.</t>
  </si>
  <si>
    <t>Risiko</t>
  </si>
  <si>
    <t>Gemäss gewähltem Modul wird ein zusätzliches Todesfallkapital von 150% des versicherten Lohns ausgerichtet.</t>
  </si>
  <si>
    <t>Gemäss gewähltem Modul wird ein zusätzliches Todesfallkapital von 200% des versicherten Lohns ausgerichtet.</t>
  </si>
  <si>
    <t>ausgerichtet nach 720 Tagen.</t>
  </si>
  <si>
    <t>ausgerichtet nach 360 Tagen.</t>
  </si>
  <si>
    <t>Die Invalidenrente entspricht gemäss Wahl 10% des versicherten Lohnes</t>
  </si>
  <si>
    <t>Die Invalidenrente entspricht gemäss Wahl 15% des versicherten Lohnes</t>
  </si>
  <si>
    <t>Die Invalidenrente entspricht gemäss Wahl 20% des versicherten Lohnes</t>
  </si>
  <si>
    <t>Module für Archiv</t>
  </si>
  <si>
    <t xml:space="preserve">      Sparen ab</t>
  </si>
  <si>
    <t>18-19</t>
  </si>
  <si>
    <t>20-24</t>
  </si>
  <si>
    <t>1 = ab 18, 2 = ab 20, 3 = ab 25</t>
  </si>
  <si>
    <t>18 - 19</t>
  </si>
  <si>
    <t>L11</t>
  </si>
  <si>
    <t>gelöscht</t>
  </si>
  <si>
    <t>Andruck Pensum bei L2 unnötig</t>
  </si>
  <si>
    <t>Planbeschrieb bei Beitragsbefreiung</t>
  </si>
  <si>
    <t>Sparen ab 18/20/25</t>
  </si>
  <si>
    <t>A41:P41</t>
  </si>
  <si>
    <t>Zinssätze</t>
  </si>
  <si>
    <t>PAT</t>
  </si>
  <si>
    <t>vP</t>
  </si>
  <si>
    <t>Satz</t>
  </si>
  <si>
    <t>Zins</t>
  </si>
  <si>
    <t xml:space="preserve">    CHF</t>
  </si>
  <si>
    <t>Anschlussvertrag und Anmeldeformular für Selbständigerwerbende</t>
  </si>
  <si>
    <t>Anschlussvertrag für Arbeitgeber</t>
  </si>
  <si>
    <t>Die versicherten Leistungen und Beiträge richten sich nach dem Vorsorgereglement und dem gewählten Vorsorgeplan. Wechsel der Vorsorgepläne oder der Beitragsaufteilung zwischen Arbeitgeber und Arbeitnehmer sind – unter Vorbehalt der Zustimmung durch die PAT-BVG – jeweils auf den Anfang eines Kalenderjahres möglich.</t>
  </si>
  <si>
    <t>Arbeitgeber-Beitragsreserven</t>
  </si>
  <si>
    <t>Kollektive Krankentaggeldversicherung</t>
  </si>
  <si>
    <t>Leiden Sie gegenwärtig an einer Krankheit oder an den Folgen einer Krankheit, 
eines Unfalls oder eines Geburtsgebrechens?</t>
  </si>
  <si>
    <t>übersteuern</t>
  </si>
  <si>
    <t>1. Für den Anspruchsbeginn auf Invalidenleistungen können zwei Wartefristen gewählt werden. Eine Wartefrist von 360 Tagen wird in der Regel gewählt, wenn keine andere Versicherung (z.B. Kranken- oder Unfalltaggeldversicherung) Leistungen über den 360. Tag hinaus gewährt. Besteht eine Krankentaggeldversicherung mit einer Leistungsdauer von mindestens 720 Tagen sowie eine freiwillige Unfallversicherung gemäss UVG, so kann eine Wartefrist für den Anspruch auf Invalidenleistungen von 720 Tagen gewählt werden.
2. Bei einem Aufschub des Anspruchbeginns von Invalidenleistungen auf 720 Tage mit entsprechend reduzierten Risikobei-trägen bezahlt die PAT-BVG unabhängig von einer Kranken- oder Unfalltaggeldversicherung allfällige Invalidenleistungen frühestens ab dem 721. Tag. Wird ein früherer Rechtsanspruch abgeleitet, werden dem mit diesem Anschlussvertrag versi-cherten Selbständigerwerbenden sämtliche Rentenzahlungen vor dem 721. Tag in Rechnung gestellt bzw. mit allfällig beanspruchten Leistungen verrechnet. Davon ausgenommen ist die Beitragsbefreiung für die Spar- und Risikobeiträge. Die Wartefrist für die Beitragsbefreiung beträgt immer 6 Monate.</t>
  </si>
  <si>
    <t>(Versicherbar ist maximal das AHV-pflichtige Einkommen vor</t>
  </si>
  <si>
    <t>Abzug der eigenen Beiträge an die berufliche Vorsorge.)</t>
  </si>
  <si>
    <t>Vermittler-Archiv</t>
  </si>
  <si>
    <t>AHV-Lohn</t>
  </si>
  <si>
    <t>Die Invalidenrente entspricht gemäss Wahl 25% des versicherten Lohnes</t>
  </si>
  <si>
    <t>Die Invalidenrente entspricht gemäss Wahl 30% des versicherten Lohnes</t>
  </si>
  <si>
    <t>Die Invalidenrente entspricht gemäss Wahl 35% des versicherten Lohnes</t>
  </si>
  <si>
    <t>Die Invalidenrente entspricht gemäss Wahl 40% des versicherten Lohnes</t>
  </si>
  <si>
    <t>Die Invalidenrente entspricht gemäss Wahl 45% des versicherten Lohnes</t>
  </si>
  <si>
    <t>Die Invalidenrente entspricht gemäss Wahl 50% des versicherten Lohnes</t>
  </si>
  <si>
    <t>Die Invalidenrente entspricht gemäss Wahl 55% des versicherten Lohnes</t>
  </si>
  <si>
    <t>=WENN(R20=0;S19;WENN(H20&lt;&gt;12;S19+S19*G20/12*J20+R20;S19+S19*G20/12*I20+R20))</t>
  </si>
  <si>
    <t>reduzierte Risikobeiträge</t>
  </si>
  <si>
    <t>M1</t>
  </si>
  <si>
    <r>
      <t xml:space="preserve">Tool für </t>
    </r>
    <r>
      <rPr>
        <b/>
        <sz val="10"/>
        <rFont val="Arial"/>
        <family val="2"/>
      </rPr>
      <t>2015</t>
    </r>
  </si>
  <si>
    <t>H89</t>
  </si>
  <si>
    <t>A61</t>
  </si>
  <si>
    <t>wenn Input/E86 leer</t>
  </si>
  <si>
    <t>=WENN(R20=0;S19;S19+S19*G20/12*H20+R20)</t>
  </si>
  <si>
    <t>Vorsorgeplan</t>
  </si>
  <si>
    <t>Formeln zum Blatt "Renten"</t>
  </si>
  <si>
    <t>Die Invalidenrente entspricht gemäss Wahl 60% des versicherten Lohnes</t>
  </si>
  <si>
    <t>Die Invalidenrente entspricht gemäss Wahl 65% des versicherten Lohnes</t>
  </si>
  <si>
    <t>Die Invalidenrente entspricht gemäss Wahl 70% des versicherten Lohnes</t>
  </si>
  <si>
    <t>Die Invalidenrente entspricht gemäss Wahl dem BVG-Minimum</t>
  </si>
  <si>
    <t>BB gemäss Plan</t>
  </si>
  <si>
    <t>Personenkreis</t>
  </si>
  <si>
    <t>_</t>
  </si>
  <si>
    <r>
      <t>R</t>
    </r>
    <r>
      <rPr>
        <vertAlign val="superscript"/>
        <sz val="11"/>
        <rFont val="Arial"/>
        <family val="2"/>
      </rPr>
      <t>2/10-70%</t>
    </r>
  </si>
  <si>
    <r>
      <t>Bb</t>
    </r>
    <r>
      <rPr>
        <vertAlign val="superscript"/>
        <sz val="11"/>
        <rFont val="Arial"/>
        <family val="2"/>
      </rPr>
      <t>X</t>
    </r>
    <r>
      <rPr>
        <sz val="11"/>
        <rFont val="Arial"/>
        <family val="2"/>
      </rPr>
      <t xml:space="preserve"> (Plan)</t>
    </r>
  </si>
  <si>
    <t>BB(Mod.)</t>
  </si>
  <si>
    <t>BB(BVG)</t>
  </si>
  <si>
    <t>AN</t>
  </si>
  <si>
    <t>50+</t>
  </si>
  <si>
    <t xml:space="preserve">Mit dem Modul L2 ist das AHV-Einkommen abzüglich des dem Beschäftigungsgrad angepassten </t>
  </si>
  <si>
    <t>Mit dem Modul L1 ist das AHV-Einkommen abzüglich Koordinationsabzug versichert.</t>
  </si>
  <si>
    <t xml:space="preserve">Mit dem Modul L3 ist das AHV-Einkommen abzüglich 20 % des Einkommens, </t>
  </si>
  <si>
    <t>Mit dem Modul L4 ist das AHV-Einkommen ohne Koordinationsabzug versichert.</t>
  </si>
  <si>
    <t>Gemäss Wahl wird nur das reglementarische Todesfallkapital ausgerichtet (Ziffer 19 des Reglements).</t>
  </si>
  <si>
    <t>B</t>
  </si>
  <si>
    <t>Alter kodiert</t>
  </si>
  <si>
    <t>C</t>
  </si>
  <si>
    <t>D</t>
  </si>
  <si>
    <t>E</t>
  </si>
  <si>
    <t>Altersparen %</t>
  </si>
  <si>
    <t>F</t>
  </si>
  <si>
    <t>Zusatzsparen %</t>
  </si>
  <si>
    <t>G</t>
  </si>
  <si>
    <t>H</t>
  </si>
  <si>
    <t>Monate versichert im Eintrittsjahr, sonst 12</t>
  </si>
  <si>
    <t>Eintritt Mai = 8</t>
  </si>
  <si>
    <t>I</t>
  </si>
  <si>
    <t>Monate bis Ende Geburtsmonat</t>
  </si>
  <si>
    <t>L5 (1/2 Koordinationsabzug)</t>
  </si>
  <si>
    <t>L5</t>
  </si>
  <si>
    <t>Mit dem Modul L5 ist das AHV-Einkommen mit dem halben Koordinationsabzug versichert.</t>
  </si>
  <si>
    <t>Geburtstag Mai = 5</t>
  </si>
  <si>
    <t>J</t>
  </si>
  <si>
    <t>Monate anrechenbar im Eintrittsjahr</t>
  </si>
  <si>
    <t>1 Monat</t>
  </si>
  <si>
    <t>K</t>
  </si>
  <si>
    <t>Gutschrift 12 Monate</t>
  </si>
  <si>
    <t>M</t>
  </si>
  <si>
    <t>vorhandenes Altersguthaben im Berechnungszeitpunkt</t>
  </si>
  <si>
    <t>N</t>
  </si>
  <si>
    <t>Guthaben nach 12 Monaten</t>
  </si>
  <si>
    <t>O</t>
  </si>
  <si>
    <t>Guthaben bis Ende Geburtsmonat</t>
  </si>
  <si>
    <t>P</t>
  </si>
  <si>
    <t>Q</t>
  </si>
  <si>
    <t>Guthaben nach 12 Monaten ohne Zins</t>
  </si>
  <si>
    <t>S</t>
  </si>
  <si>
    <t>Guthaben bis Ende Geburtsmonat ohne Zins</t>
  </si>
  <si>
    <t>T</t>
  </si>
  <si>
    <t>IVG gemäss BVG</t>
  </si>
  <si>
    <t>U</t>
  </si>
  <si>
    <t>V</t>
  </si>
  <si>
    <t>W</t>
  </si>
  <si>
    <t>vorhandenes Altersguthaben BVG-Anteil im Berechnungszeitpunkt</t>
  </si>
  <si>
    <t>Guthaben BVG-Anteil nach 12 Monaten</t>
  </si>
  <si>
    <t>Guthaben BVG-Anteil bis Ende Geburtsmonat</t>
  </si>
  <si>
    <t>Umwandlungssatz BVG-Minimum</t>
  </si>
  <si>
    <t>Rente BVG-Minimum</t>
  </si>
  <si>
    <t>Spalte C</t>
  </si>
  <si>
    <t>Vergleich, ob Regl. oder BVG höher</t>
  </si>
  <si>
    <t>Offerte per (Monatserster)</t>
  </si>
  <si>
    <t>Offerte per</t>
  </si>
  <si>
    <t>SE</t>
  </si>
  <si>
    <t>Eintritt</t>
  </si>
  <si>
    <t>egal</t>
  </si>
  <si>
    <t>2015-</t>
  </si>
  <si>
    <t>vor 1.7.11</t>
  </si>
  <si>
    <t>nach 1.7.11</t>
  </si>
  <si>
    <t>Status</t>
  </si>
  <si>
    <t>Eintrittsalter</t>
  </si>
  <si>
    <t>1. bis 2014 (SE -50 und AN)</t>
  </si>
  <si>
    <t>1.1 Männer</t>
  </si>
  <si>
    <t>1.2 Frauen</t>
  </si>
  <si>
    <t>2. ab 2015 SE -50 / AN</t>
  </si>
  <si>
    <t>1.1/1.2</t>
  </si>
  <si>
    <t>R4</t>
  </si>
  <si>
    <t>S4</t>
  </si>
  <si>
    <t>=WENN(K20=0;L19;L19+L19*G20/12*H20+K20/12*H20)</t>
  </si>
  <si>
    <t>=WENN(K20=0;L19;WENN(H20&lt;&gt;12;L19+L19*G20/12*J20+K20/12*J20;L19+L19*G20/12*I20+K20/12*I20))</t>
  </si>
  <si>
    <t>=WENN(K20=0;P19;P19+K20/12*H20)</t>
  </si>
  <si>
    <t>=WENN(K20=0;P19;WENN(H20&lt;&gt;12;P19+K20/12*J20;P19+K20/12*I20))</t>
  </si>
  <si>
    <t>=WENN((Berechnungen!$J$2-1)&lt;A20;($R$4*SVERWEIS(B20;'Tabellen B'!$B$18:$C$23;2)%)/12*H20;0)</t>
  </si>
  <si>
    <t>SE: Eintritt vor 50</t>
  </si>
  <si>
    <t>Gruppe</t>
  </si>
  <si>
    <t>Jg.</t>
  </si>
  <si>
    <t>3. ab 2012/2015 SE 50+</t>
  </si>
  <si>
    <t>G1</t>
  </si>
  <si>
    <t>G2</t>
  </si>
  <si>
    <t>G3</t>
  </si>
  <si>
    <t>BVG-Minimum</t>
  </si>
  <si>
    <t>UWS Rente</t>
  </si>
  <si>
    <t>64/65</t>
  </si>
  <si>
    <t>Die Alterskinderrente beträgt ab dem ordentlichen AHV-Alter 20% der Altersrente. Bei vorzeitiger Pensionierung berechnet sich die Alterskinderrente gemäss BVG.</t>
  </si>
  <si>
    <t>ArG</t>
  </si>
  <si>
    <t>100% (Zustimmung Partner)</t>
  </si>
  <si>
    <t>A.1</t>
  </si>
  <si>
    <t>A.2</t>
  </si>
  <si>
    <t>A.3</t>
  </si>
  <si>
    <t>A.4</t>
  </si>
  <si>
    <t>A.5</t>
  </si>
  <si>
    <t>A.6</t>
  </si>
  <si>
    <t>A.7</t>
  </si>
  <si>
    <t>A.8</t>
  </si>
  <si>
    <t>B.1</t>
  </si>
  <si>
    <t>B.2</t>
  </si>
  <si>
    <t>B.3</t>
  </si>
  <si>
    <t>B.4</t>
  </si>
  <si>
    <t>C.1</t>
  </si>
  <si>
    <t>C.2</t>
  </si>
  <si>
    <t>C.3</t>
  </si>
  <si>
    <t>C.4</t>
  </si>
  <si>
    <t>C.5</t>
  </si>
  <si>
    <t>D.1</t>
  </si>
  <si>
    <t>E.1</t>
  </si>
  <si>
    <t>E.2</t>
  </si>
  <si>
    <t>E.3</t>
  </si>
  <si>
    <t>F.1</t>
  </si>
  <si>
    <t>F.2</t>
  </si>
  <si>
    <t>Zusätzliches Todesfallkapital</t>
  </si>
  <si>
    <t>TK2 (Altersguthaben)</t>
  </si>
  <si>
    <t>Zusätzlich zu den Hinterlassenenrenten wird das angesammelte Altersguthaben ausbezahlt.</t>
  </si>
  <si>
    <t>3.2</t>
  </si>
  <si>
    <t>AGU-Pläne</t>
  </si>
  <si>
    <t>1  Koordination BVG</t>
  </si>
  <si>
    <t>2  Koordination BVG, nach BS-Grad</t>
  </si>
  <si>
    <t>3  VL=80% AHV-Lohn</t>
  </si>
  <si>
    <t>4  VL = AHV-Lohn</t>
  </si>
  <si>
    <t>55-64/65</t>
  </si>
  <si>
    <t>Alterssparen</t>
  </si>
  <si>
    <t>66-70</t>
  </si>
  <si>
    <t>A1  7_10_15_18%</t>
  </si>
  <si>
    <t>A2  11_12_15_18%</t>
  </si>
  <si>
    <t>A3  16.5_16.5_16.5_18%</t>
  </si>
  <si>
    <t>TFK</t>
  </si>
  <si>
    <t>A4  20_20_20_20%</t>
  </si>
  <si>
    <t>A5  21_22_23_25%</t>
  </si>
  <si>
    <t>ZS1  2_2_2_0%</t>
  </si>
  <si>
    <t>ZS2  4_3_2_0%</t>
  </si>
  <si>
    <t>R1  IVR gemäss BVG berechnet</t>
  </si>
  <si>
    <t>R2  IVR in % des VL</t>
  </si>
  <si>
    <t>nur Sparen</t>
  </si>
  <si>
    <t>Plafond versicherter Lohn</t>
  </si>
  <si>
    <t>gemäss UVG</t>
  </si>
  <si>
    <t>gemäss BVG</t>
  </si>
  <si>
    <t>Krankentaggeldversicherung (Wartefrist IVR)</t>
  </si>
  <si>
    <t>50% von L</t>
  </si>
  <si>
    <t>100% von L</t>
  </si>
  <si>
    <t>150% von L</t>
  </si>
  <si>
    <t>200% von L</t>
  </si>
  <si>
    <t>Eintrittsschwelle gem. BVG</t>
  </si>
  <si>
    <t>SE mit BVG-Alter 50 oder älter</t>
  </si>
  <si>
    <t>kein SE</t>
  </si>
  <si>
    <t>unter 50</t>
  </si>
  <si>
    <t>50 oder älter</t>
  </si>
  <si>
    <t>gemäss Plan</t>
  </si>
  <si>
    <t>Höhe der Invalidenrente</t>
  </si>
  <si>
    <t>nicht in % L</t>
  </si>
  <si>
    <t>15% (L über 150'000)</t>
  </si>
  <si>
    <t>20% (L über 100'000)</t>
  </si>
  <si>
    <t>25% (L über 100'000)</t>
  </si>
  <si>
    <r>
      <t>10% (</t>
    </r>
    <r>
      <rPr>
        <b/>
        <sz val="8"/>
        <rFont val="Arial"/>
        <family val="2"/>
      </rPr>
      <t>L</t>
    </r>
    <r>
      <rPr>
        <sz val="8"/>
        <rFont val="Arial"/>
        <family val="2"/>
      </rPr>
      <t xml:space="preserve"> über 200'000)</t>
    </r>
  </si>
  <si>
    <t>"Umrechnung" REM / VT</t>
  </si>
  <si>
    <t>REM</t>
  </si>
  <si>
    <t>VT</t>
  </si>
  <si>
    <t>Zusätzlicher Sparbeitrag</t>
  </si>
  <si>
    <t>Bei Tod oder Invalidität vor dem ordentlichen AHV-Alter betragen die jährlichen Leistungen:</t>
  </si>
  <si>
    <t>Volle Invalidenrente</t>
  </si>
  <si>
    <t>Invaliden-Kinderrente</t>
  </si>
  <si>
    <t>Ehe- oder Lebenspartnerrente</t>
  </si>
  <si>
    <t>Der Anspruch auf Kinderrenten besteht bis Alter 20 bzw. Alter 25, wenn das Kind in Ausbildung ist.</t>
  </si>
  <si>
    <t xml:space="preserve"> Alter</t>
  </si>
  <si>
    <t>Sparbeitrag</t>
  </si>
  <si>
    <t>Anteil
 Arbeitnehmer</t>
  </si>
  <si>
    <t>Anteil
Arbeitgeber</t>
  </si>
  <si>
    <t>Beitrag</t>
  </si>
  <si>
    <t>BB</t>
  </si>
  <si>
    <t>25 - 34</t>
  </si>
  <si>
    <t>35 - 44</t>
  </si>
  <si>
    <t>45 - 54</t>
  </si>
  <si>
    <t>F.3</t>
  </si>
  <si>
    <t>Offerte</t>
  </si>
  <si>
    <t>ja</t>
  </si>
  <si>
    <t>F.4</t>
  </si>
  <si>
    <t>RISIKOVORSORGE</t>
  </si>
  <si>
    <t>BERECHNUNG DES VERSICHERTEN EINKOMMENS</t>
  </si>
  <si>
    <t>Total Beiträge*</t>
  </si>
  <si>
    <t>1.6</t>
  </si>
  <si>
    <t>1=360 Tage / 2=720 Tage</t>
  </si>
  <si>
    <t>Risikoplan 1= gemäss BVG / 2 = in %</t>
  </si>
  <si>
    <t>Todesfallkapital 1=TFK% / 2=TFK_AGH / 0 = ohne TFK</t>
  </si>
  <si>
    <t>Bbefr 0=gemäss BVG / 1=gemäss Plan</t>
  </si>
  <si>
    <t>Zusatzsparen 0=ohne / 1 = linear / 2 = gestaffelt</t>
  </si>
  <si>
    <t>Verwaltungskosten im Moment nur 1 Tarif!</t>
  </si>
  <si>
    <t>Plan-Nr.</t>
  </si>
  <si>
    <t>Dokumentation</t>
  </si>
  <si>
    <t>11001001</t>
  </si>
  <si>
    <t>360  /  R1  /  Bb_Plan  /  A1</t>
  </si>
  <si>
    <t>11001005</t>
  </si>
  <si>
    <t>360  /  R1  /  Bb_Plan  /  A1  /  UWS50</t>
  </si>
  <si>
    <t>11101001</t>
  </si>
  <si>
    <t>360  /  R1+TK%  /  Bb_Plan  /  A1</t>
  </si>
  <si>
    <t>11101005</t>
  </si>
  <si>
    <t>360  /  R1+TK%  /  Bb_Plan  /  A1  /  UWS50</t>
  </si>
  <si>
    <t>11201001</t>
  </si>
  <si>
    <t>E12-I18; E33-L38</t>
  </si>
  <si>
    <t>360  /  R1+TK2_RW  /  Bb_Plan  /  A1</t>
  </si>
  <si>
    <t>11201005</t>
  </si>
  <si>
    <t>360  /  R1+TK2_RW  /  Bb_Plan  /  A1  /  UWS50</t>
  </si>
  <si>
    <t>12001001</t>
  </si>
  <si>
    <t>360  /  R2  /  Bb_Plan  /  A1</t>
  </si>
  <si>
    <t>12001005</t>
  </si>
  <si>
    <t>360  /  R2  /  Bb_Plan  /  A1  /  UWS50</t>
  </si>
  <si>
    <t>12101001</t>
  </si>
  <si>
    <t>360  /  R2+TK%  /  Bb_Plan  /  A1</t>
  </si>
  <si>
    <t>12101005</t>
  </si>
  <si>
    <t>360  /  R2+TK%  /  Bb_Plan  /  A1  /  UWS50</t>
  </si>
  <si>
    <t>12201001</t>
  </si>
  <si>
    <t>360  /  R2+TK2_RW  /  Bb_Plan  /  A1</t>
  </si>
  <si>
    <t>12201005</t>
  </si>
  <si>
    <t>360  /  R2+TK2_RW  /  Bb_Plan  /  A1  /  UWS50</t>
  </si>
  <si>
    <t>21001001</t>
  </si>
  <si>
    <t>720  /  R1  /  Bb_Plan  /  A1</t>
  </si>
  <si>
    <t>21001005</t>
  </si>
  <si>
    <t>720  /  R1  /  Bb_Plan  /  A1  /  UWS50</t>
  </si>
  <si>
    <t>21101001</t>
  </si>
  <si>
    <t>720  /  R1+TK%  /  Bb_Plan  /  A1</t>
  </si>
  <si>
    <t>21101005</t>
  </si>
  <si>
    <t>720  /  R1+TK%  /  Bb_Plan  /  A1  /  UWS50</t>
  </si>
  <si>
    <t>21201001</t>
  </si>
  <si>
    <t>720  /  R1+TK2_RW  /  Bb_Plan  /  A1</t>
  </si>
  <si>
    <t>21201005</t>
  </si>
  <si>
    <t>720  /  R1+TK2_RW  /  Bb_Plan  /  A1  /  UWS50</t>
  </si>
  <si>
    <t>22001001</t>
  </si>
  <si>
    <t>720  /  R2  /  Bb_Plan  /  A1</t>
  </si>
  <si>
    <t>22001005</t>
  </si>
  <si>
    <t>720  /  R2  /  Bb_Plan  /  A1  /  UWS50</t>
  </si>
  <si>
    <t>22101001</t>
  </si>
  <si>
    <t>720  /  R2+TK%  /  Bb_Plan  /  A1</t>
  </si>
  <si>
    <t>22101005</t>
  </si>
  <si>
    <t>720  /  R2+TK%  /  Bb_Plan  /  A1  /  UWS50</t>
  </si>
  <si>
    <t>22201001</t>
  </si>
  <si>
    <t>720  /  R2+TK2_RW  /  Bb_Plan  /  A1</t>
  </si>
  <si>
    <t>22201005</t>
  </si>
  <si>
    <t>720  /  R2+TK2_RW  /  Bb_Plan  /  A1  /  UWS50</t>
  </si>
  <si>
    <t>50001001</t>
  </si>
  <si>
    <t xml:space="preserve">Plan ab AHV-Alter  /  A1  /  </t>
  </si>
  <si>
    <t>50001005</t>
  </si>
  <si>
    <t xml:space="preserve">SE 50+ Plan ab AHV-Alter  /  A1  /  </t>
  </si>
  <si>
    <t>11001101</t>
  </si>
  <si>
    <t>360  /  R1  /  Bb_Plan  /  A1  /  ZS1</t>
  </si>
  <si>
    <r>
      <t>4.</t>
    </r>
    <r>
      <rPr>
        <sz val="10"/>
        <rFont val="Arial"/>
        <family val="2"/>
      </rPr>
      <t xml:space="preserve">  Wählen Sie </t>
    </r>
    <r>
      <rPr>
        <i/>
        <sz val="10"/>
        <rFont val="Arial"/>
        <family val="2"/>
      </rPr>
      <t xml:space="preserve">Bearbeiten &gt; Inhalte einfügen </t>
    </r>
    <r>
      <rPr>
        <sz val="10"/>
        <rFont val="Arial"/>
        <family val="2"/>
      </rPr>
      <t xml:space="preserve">und klicken Sie auf </t>
    </r>
    <r>
      <rPr>
        <i/>
        <sz val="10"/>
        <rFont val="Arial"/>
        <family val="2"/>
      </rPr>
      <t>Werte und Zahlenformate</t>
    </r>
    <r>
      <rPr>
        <sz val="10"/>
        <rFont val="Arial"/>
        <family val="2"/>
      </rPr>
      <t xml:space="preserve"> und </t>
    </r>
    <r>
      <rPr>
        <i/>
        <sz val="10"/>
        <rFont val="Arial"/>
        <family val="2"/>
      </rPr>
      <t>OK</t>
    </r>
    <r>
      <rPr>
        <sz val="10"/>
        <rFont val="Arial"/>
        <family val="2"/>
      </rPr>
      <t xml:space="preserve"> (so werden die Werte und nicht die Formeln übernommen).</t>
    </r>
  </si>
  <si>
    <t>11001105</t>
  </si>
  <si>
    <t>360  /  R1  /  Bb_Plan  /  A1  /  ZS1  /  UWS50</t>
  </si>
  <si>
    <t>11011101</t>
  </si>
  <si>
    <t>11011105</t>
  </si>
  <si>
    <t>11101101</t>
  </si>
  <si>
    <t>360  /  R1+TK%  /  Bb_Plan  /  A1  /  ZS1</t>
  </si>
  <si>
    <t>11101105</t>
  </si>
  <si>
    <t>360  /  R1+TK%  /  Bb_Plan  /  A1  /  ZS1  /  UWS50</t>
  </si>
  <si>
    <t>11111101</t>
  </si>
  <si>
    <t>11111105</t>
  </si>
  <si>
    <t>11201101</t>
  </si>
  <si>
    <t>360  /  R1+TK2_RW  /  Bb_Plan  /  A1  /  ZS1</t>
  </si>
  <si>
    <t>11201105</t>
  </si>
  <si>
    <t>360  /  R1+TK2_RW  /  Bb_Plan  /  A1  /  ZS1  /  UWS50</t>
  </si>
  <si>
    <t>11211101</t>
  </si>
  <si>
    <t>11211105</t>
  </si>
  <si>
    <t>12001101</t>
  </si>
  <si>
    <t>360  /  R2  /  Bb_Plan  /  A1  /  ZS1</t>
  </si>
  <si>
    <t>12001105</t>
  </si>
  <si>
    <t>360  /  R2  /  Bb_Plan  /  A1  /  ZS1  /  UWS50</t>
  </si>
  <si>
    <t>12011101</t>
  </si>
  <si>
    <t>12011105</t>
  </si>
  <si>
    <t>12101101</t>
  </si>
  <si>
    <t>K17:AL33</t>
  </si>
  <si>
    <t>Risikobeiträge 2015</t>
  </si>
  <si>
    <t>A55:A68</t>
  </si>
  <si>
    <t>B25:B26</t>
  </si>
  <si>
    <t>Berechnung</t>
  </si>
  <si>
    <t>G50:G55</t>
  </si>
  <si>
    <t>360  /  R2+TK%  /  Bb_Plan  /  A1  /  ZS1</t>
  </si>
  <si>
    <t>12101105</t>
  </si>
  <si>
    <t>360  /  R2+TK%  /  Bb_Plan  /  A1  /  ZS1  /  UWS50</t>
  </si>
  <si>
    <t>12111101</t>
  </si>
  <si>
    <t>12111105</t>
  </si>
  <si>
    <t>12201101</t>
  </si>
  <si>
    <t>360  /  R2+TK2_RW  /  Bb_Plan  /  A1  /  ZS1</t>
  </si>
  <si>
    <t>12201105</t>
  </si>
  <si>
    <t>360  /  R2+TK2_RW  /  Bb_Plan  /  A1  /  ZS1  /  UWS50</t>
  </si>
  <si>
    <t>12211101</t>
  </si>
  <si>
    <t>12211105</t>
  </si>
  <si>
    <t>21001101</t>
  </si>
  <si>
    <t>Tabellen B</t>
  </si>
  <si>
    <t>Q5-R12</t>
  </si>
  <si>
    <t>Grenzbeträge 2013/2014</t>
  </si>
  <si>
    <t>Projektionszinssatz 2012/2013: 1,5 %</t>
  </si>
  <si>
    <t>H16</t>
  </si>
  <si>
    <t>2014 statt 2012</t>
  </si>
  <si>
    <t>G4-G50</t>
  </si>
  <si>
    <t>L22</t>
  </si>
  <si>
    <t>B22</t>
  </si>
  <si>
    <t>B52</t>
  </si>
  <si>
    <t>G72</t>
  </si>
  <si>
    <t>J61</t>
  </si>
  <si>
    <t>Planbeschrieb</t>
  </si>
  <si>
    <t>H90</t>
  </si>
  <si>
    <t>N58</t>
  </si>
  <si>
    <t>Rentenalter</t>
  </si>
  <si>
    <t>Offertdatum</t>
  </si>
  <si>
    <t>L4-L10</t>
  </si>
  <si>
    <t>A8</t>
  </si>
  <si>
    <t>keine Berechnung, wenn Offertdatum &gt;= Rentendatum</t>
  </si>
  <si>
    <t>Versionsbezeichnung</t>
  </si>
  <si>
    <t>Formel Ehepartnerrente</t>
  </si>
  <si>
    <t>Versionsbezeichnung: geändert, vergrössert, schwarz</t>
  </si>
  <si>
    <t>Versionsbezeichnung: vergrössert, schwarz</t>
  </si>
  <si>
    <t>Formel Projektionszinssatz</t>
  </si>
  <si>
    <t>720  /  R1  /  Bb_Plan  /  A1  /  ZS1</t>
  </si>
  <si>
    <t>21001105</t>
  </si>
  <si>
    <t>720  /  R1  /  Bb_Plan  /  A1  /  ZS1  /  UWS50</t>
  </si>
  <si>
    <t>21011101</t>
  </si>
  <si>
    <t>21011105</t>
  </si>
  <si>
    <t>21101101</t>
  </si>
  <si>
    <t>720  /  R1+TK%  /  Bb_Plan  /  A1  /  ZS1</t>
  </si>
  <si>
    <t>21101105</t>
  </si>
  <si>
    <t>720  /  R1+TK%  /  Bb_Plan  /  A1  /  ZS1  /  UWS50</t>
  </si>
  <si>
    <t>versicherter
Lohn</t>
  </si>
  <si>
    <t>vorhandenes
Altersguthaben (FZL)</t>
  </si>
  <si>
    <t>vers. Lohn</t>
  </si>
  <si>
    <t>Eintritts-
schwelle</t>
  </si>
  <si>
    <t>Beitrags-
befreiung</t>
  </si>
  <si>
    <t>Persönliche Daten</t>
  </si>
  <si>
    <t>Vorsorgeplandaten</t>
  </si>
  <si>
    <t>Individuelle Zusatzangaben</t>
  </si>
  <si>
    <r>
      <t>Bestätigung:</t>
    </r>
    <r>
      <rPr>
        <sz val="9"/>
        <rFont val="Arial"/>
        <family val="2"/>
      </rPr>
      <t xml:space="preserve"> </t>
    </r>
    <r>
      <rPr>
        <b/>
        <sz val="9"/>
        <rFont val="Arial"/>
        <family val="2"/>
      </rPr>
      <t>Für die bei der PAT-BVG versicherten Personen besteht</t>
    </r>
  </si>
  <si>
    <t>nicht vor</t>
  </si>
  <si>
    <t>Input!E18</t>
  </si>
  <si>
    <t>F26, I26</t>
  </si>
  <si>
    <t xml:space="preserve">Anzahl versicherte Personen:  </t>
  </si>
  <si>
    <t>Ausgleichskasse:</t>
  </si>
  <si>
    <t>Ort</t>
  </si>
  <si>
    <t>Datum</t>
  </si>
  <si>
    <t>Mit Hilfe dieser Funktion können die Angaben zur Offerte in das untenstehende Archiv oder in eine Exceldatei "Archiv" übertragen werden:</t>
  </si>
  <si>
    <t>Geburtsdatum</t>
  </si>
  <si>
    <t>davon BVG
(BVG-FZL)</t>
  </si>
  <si>
    <t>Risikomodul</t>
  </si>
  <si>
    <t>Alterssparmodul</t>
  </si>
  <si>
    <t>Zusatzsparmodul</t>
  </si>
  <si>
    <t>Sparen ab Alter</t>
  </si>
  <si>
    <t>TK0</t>
  </si>
  <si>
    <t>TK1_50</t>
  </si>
  <si>
    <t>TK1_100</t>
  </si>
  <si>
    <t>TK1_150</t>
  </si>
  <si>
    <t>TK1_200</t>
  </si>
  <si>
    <t>R2_10</t>
  </si>
  <si>
    <t>R2_15</t>
  </si>
  <si>
    <t>R2_20</t>
  </si>
  <si>
    <t>R2_25</t>
  </si>
  <si>
    <t>R2_30</t>
  </si>
  <si>
    <t>R2_35</t>
  </si>
  <si>
    <t>R2_40</t>
  </si>
  <si>
    <t>R2_45</t>
  </si>
  <si>
    <t>R2_50</t>
  </si>
  <si>
    <t>R2_55</t>
  </si>
  <si>
    <t>R2_60</t>
  </si>
  <si>
    <t>R2_65</t>
  </si>
  <si>
    <t>R2_70</t>
  </si>
  <si>
    <t>Sparguthaben
in Offerte?</t>
  </si>
  <si>
    <t>nur wenn IV% und TK</t>
  </si>
  <si>
    <t>H9/I10</t>
  </si>
  <si>
    <t>K4/L5</t>
  </si>
  <si>
    <t>Vermittler</t>
  </si>
  <si>
    <t>massgebend</t>
  </si>
  <si>
    <t>21111101</t>
  </si>
  <si>
    <t>21111105</t>
  </si>
  <si>
    <t>21201101</t>
  </si>
  <si>
    <t>720  /  R1+TK2_RW  /  Bb_Plan  /  A1  /  ZS1</t>
  </si>
  <si>
    <t>21201105</t>
  </si>
  <si>
    <t>durch 24</t>
  </si>
  <si>
    <t>F18/J18</t>
  </si>
  <si>
    <t>Text Projektionszinssatz</t>
  </si>
  <si>
    <t>Formeln</t>
  </si>
  <si>
    <t>J15/L15</t>
  </si>
  <si>
    <t>Formeln Beiträge und Rundung</t>
  </si>
  <si>
    <t>720  /  R1+TK2_RW  /  Bb_Plan  /  A1  /  ZS1  /  UWS50</t>
  </si>
  <si>
    <t>21211101</t>
  </si>
  <si>
    <t>21211105</t>
  </si>
  <si>
    <t>22001101</t>
  </si>
  <si>
    <t>720  /  R2  /  Bb_Plan  /  A1  /  ZS1</t>
  </si>
  <si>
    <t>22001105</t>
  </si>
  <si>
    <t>720  /  R2  /  Bb_Plan  /  A1  /  ZS1  /  UWS50</t>
  </si>
  <si>
    <t>22011101</t>
  </si>
  <si>
    <t>22011105</t>
  </si>
  <si>
    <t>22101101</t>
  </si>
  <si>
    <t>720  /  R2+TK%  /  Bb_Plan  /  A1  /  ZS1</t>
  </si>
  <si>
    <t>22101105</t>
  </si>
  <si>
    <t>720  /  R2+TK%  /  Bb_Plan  /  A1  /  ZS1  /  UWS50</t>
  </si>
  <si>
    <t>22111101</t>
  </si>
  <si>
    <t>22111105</t>
  </si>
  <si>
    <t>22201101</t>
  </si>
  <si>
    <t>720  /  R2+TK2_RW  /  Bb_Plan  /  A1  /  ZS1</t>
  </si>
  <si>
    <t>22201105</t>
  </si>
  <si>
    <t>720  /  R2+TK2_RW  /  Bb_Plan  /  A1  /  ZS1  /  UWS50</t>
  </si>
  <si>
    <t>22211101</t>
  </si>
  <si>
    <t>22211105</t>
  </si>
  <si>
    <t>50001101</t>
  </si>
  <si>
    <t>Plan ab AHV-Alter  /  A1  /  ZS1</t>
  </si>
  <si>
    <t>50001105</t>
  </si>
  <si>
    <t>SE 50+ Plan ab AHV-Alter  /  A1  /  ZS1</t>
  </si>
  <si>
    <t>11001201</t>
  </si>
  <si>
    <t>360  /  R1  /  Bb_Plan  /  A1  /  ZS2</t>
  </si>
  <si>
    <t>11001205</t>
  </si>
  <si>
    <t>360  /  R1  /  Bb_Plan  /  A1  /  ZS2  /  UWS50</t>
  </si>
  <si>
    <t>11011201</t>
  </si>
  <si>
    <t>11011205</t>
  </si>
  <si>
    <t>11101201</t>
  </si>
  <si>
    <t>360  /  R1+TK%  /  Bb_Plan  /  A1  /  ZS2</t>
  </si>
  <si>
    <t>11101205</t>
  </si>
  <si>
    <t>360  /  R1+TK%  /  Bb_Plan  /  A1  /  ZS2  /  UWS50</t>
  </si>
  <si>
    <t>11111201</t>
  </si>
  <si>
    <t>11111205</t>
  </si>
  <si>
    <t>11201201</t>
  </si>
  <si>
    <t>360  /  R1+TK2_RW  /  Bb_Plan  /  A1  /  ZS2</t>
  </si>
  <si>
    <t>11201205</t>
  </si>
  <si>
    <t>360  /  R1+TK2_RW  /  Bb_Plan  /  A1  /  ZS2  /  UWS50</t>
  </si>
  <si>
    <t>11211201</t>
  </si>
  <si>
    <t>11211205</t>
  </si>
  <si>
    <t>12001201</t>
  </si>
  <si>
    <t>360  /  R2  /  Bb_Plan  /  A1  /  ZS2</t>
  </si>
  <si>
    <t>12001205</t>
  </si>
  <si>
    <t>360  /  R2  /  Bb_Plan  /  A1  /  ZS2  /  UWS50</t>
  </si>
  <si>
    <t>12011201</t>
  </si>
  <si>
    <t>12011205</t>
  </si>
  <si>
    <t>12101201</t>
  </si>
  <si>
    <t>360  /  R2+TK%  /  Bb_Plan  /  A1  /  ZS2</t>
  </si>
  <si>
    <t>12101205</t>
  </si>
  <si>
    <t>360  /  R2+TK%  /  Bb_Plan  /  A1  /  ZS2  /  UWS50</t>
  </si>
  <si>
    <t>12111201</t>
  </si>
  <si>
    <t>12111205</t>
  </si>
  <si>
    <t>12201201</t>
  </si>
  <si>
    <t>360  /  R2+TK2_RW  /  Bb_Plan  /  A1  /  ZS2</t>
  </si>
  <si>
    <t>12201205</t>
  </si>
  <si>
    <t>360  /  R2+TK2_RW  /  Bb_Plan  /  A1  /  ZS2  /  UWS50</t>
  </si>
  <si>
    <t>12211201</t>
  </si>
  <si>
    <t>12211205</t>
  </si>
  <si>
    <t>21001201</t>
  </si>
  <si>
    <t>720  /  R1  /  Bb_Plan  /  A1  /  ZS2</t>
  </si>
  <si>
    <t>21001205</t>
  </si>
  <si>
    <t>720  /  R1  /  Bb_Plan  /  A1  /  ZS2  /  UWS50</t>
  </si>
  <si>
    <t>21011201</t>
  </si>
  <si>
    <t>21011205</t>
  </si>
  <si>
    <t>21101201</t>
  </si>
  <si>
    <t>720  /  R1+TK%  /  Bb_Plan  /  A1  /  ZS2</t>
  </si>
  <si>
    <t>21101205</t>
  </si>
  <si>
    <t>720  /  R1+TK%  /  Bb_Plan  /  A1  /  ZS2  /  UWS50</t>
  </si>
  <si>
    <t>21111201</t>
  </si>
  <si>
    <t>21111205</t>
  </si>
  <si>
    <t>21201201</t>
  </si>
  <si>
    <t>720  /  R1+TK2_RW  /  Bb_Plan  /  A1  /  ZS2</t>
  </si>
  <si>
    <t>21201205</t>
  </si>
  <si>
    <t>720  /  R1+TK2_RW  /  Bb_Plan  /  A1  /  ZS2  /  UWS50</t>
  </si>
  <si>
    <t>21211201</t>
  </si>
  <si>
    <t>21211205</t>
  </si>
  <si>
    <t>22001201</t>
  </si>
  <si>
    <t>720  /  R2  /  Bb_Plan  /  A1  /  ZS2</t>
  </si>
  <si>
    <t>22001205</t>
  </si>
  <si>
    <t>720  /  R2  /  Bb_Plan  /  A1  /  ZS2  /  UWS50</t>
  </si>
  <si>
    <t>22011201</t>
  </si>
  <si>
    <t>22011205</t>
  </si>
  <si>
    <t>22101201</t>
  </si>
  <si>
    <t>720  /  R2+TK%  /  Bb_Plan  /  A1  /  ZS2</t>
  </si>
  <si>
    <t>22101205</t>
  </si>
  <si>
    <t>720  /  R2+TK%  /  Bb_Plan  /  A1  /  ZS2  /  UWS50</t>
  </si>
  <si>
    <t>22111201</t>
  </si>
  <si>
    <t>22111205</t>
  </si>
  <si>
    <t>22201201</t>
  </si>
  <si>
    <t>720  /  R2+TK2_RW  /  Bb_Plan  /  A1  /  ZS2</t>
  </si>
  <si>
    <t>22201205</t>
  </si>
  <si>
    <t>720  /  R2+TK2_RW  /  Bb_Plan  /  A1  /  ZS2  /  UWS50</t>
  </si>
  <si>
    <t>22211201</t>
  </si>
  <si>
    <t>22211205</t>
  </si>
  <si>
    <t>50001201</t>
  </si>
  <si>
    <t>Plan ab AHV-Alter  /  A1  /  ZS2</t>
  </si>
  <si>
    <t>50001205</t>
  </si>
  <si>
    <t>Vers.</t>
  </si>
  <si>
    <t>LBI</t>
  </si>
  <si>
    <t>Pers.-Kr.</t>
  </si>
  <si>
    <t>IV</t>
  </si>
  <si>
    <t>Pers.-Kreis</t>
  </si>
  <si>
    <t>Modul</t>
  </si>
  <si>
    <t>Schwelle</t>
  </si>
  <si>
    <t>SE&lt;50</t>
  </si>
  <si>
    <t>10</t>
  </si>
  <si>
    <t>15</t>
  </si>
  <si>
    <t>20</t>
  </si>
  <si>
    <t>25</t>
  </si>
  <si>
    <t>30</t>
  </si>
  <si>
    <t>35</t>
  </si>
  <si>
    <t>40</t>
  </si>
  <si>
    <t>45</t>
  </si>
  <si>
    <t>50</t>
  </si>
  <si>
    <t>55</t>
  </si>
  <si>
    <t>60</t>
  </si>
  <si>
    <t>65</t>
  </si>
  <si>
    <t>70</t>
  </si>
  <si>
    <t>0</t>
  </si>
  <si>
    <t>100</t>
  </si>
  <si>
    <t>150</t>
  </si>
  <si>
    <t>200</t>
  </si>
  <si>
    <t>SE&gt;50_v</t>
  </si>
  <si>
    <t>keine Eintrittsschwelle</t>
  </si>
  <si>
    <t>AGH</t>
  </si>
  <si>
    <t>SE 50+ Plan ab AHV-Alter  /  A1  /  ZS2</t>
  </si>
  <si>
    <t>11002001</t>
  </si>
  <si>
    <t>360  /  R1  /  Bb_Plan  /  A2</t>
  </si>
  <si>
    <t>11002005</t>
  </si>
  <si>
    <t>360  /  R1  /  Bb_Plan  /  A2  /  UWS50</t>
  </si>
  <si>
    <t>11012001</t>
  </si>
  <si>
    <t>11012005</t>
  </si>
  <si>
    <t>11102001</t>
  </si>
  <si>
    <t>360  /  R1+TK%  /  Bb_Plan  /  A2</t>
  </si>
  <si>
    <t>11102005</t>
  </si>
  <si>
    <t>360  /  R1+TK%  /  Bb_Plan  /  A2  /  UWS50</t>
  </si>
  <si>
    <t>11112001</t>
  </si>
  <si>
    <t>11112005</t>
  </si>
  <si>
    <t>11202001</t>
  </si>
  <si>
    <t>360  /  R1+TK2_RW  /  Bb_Plan  /  A2</t>
  </si>
  <si>
    <t>11202005</t>
  </si>
  <si>
    <t>360  /  R1+TK2_RW  /  Bb_Plan  /  A2  /  UWS50</t>
  </si>
  <si>
    <t>11212001</t>
  </si>
  <si>
    <t>11212005</t>
  </si>
  <si>
    <t>12002001</t>
  </si>
  <si>
    <t>360  /  R2  /  Bb_Plan  /  A2</t>
  </si>
  <si>
    <t>12002005</t>
  </si>
  <si>
    <t>360  /  R2  /  Bb_Plan  /  A2  /  UWS50</t>
  </si>
  <si>
    <t>12012001</t>
  </si>
  <si>
    <t>12012005</t>
  </si>
  <si>
    <t>12102001</t>
  </si>
  <si>
    <t>360  /  R2+TK%  /  Bb_Plan  /  A2</t>
  </si>
  <si>
    <t>12102005</t>
  </si>
  <si>
    <t>360  /  R2+TK%  /  Bb_Plan  /  A2  /  UWS50</t>
  </si>
  <si>
    <t>12112001</t>
  </si>
  <si>
    <t>12112005</t>
  </si>
  <si>
    <t>12202001</t>
  </si>
  <si>
    <t>360  /  R2+TK2_RW  /  Bb_Plan  /  A2</t>
  </si>
  <si>
    <t>12202005</t>
  </si>
  <si>
    <t>360  /  R2+TK2_RW  /  Bb_Plan  /  A2  /  UWS50</t>
  </si>
  <si>
    <t>12212001</t>
  </si>
  <si>
    <t>12212005</t>
  </si>
  <si>
    <t>21002001</t>
  </si>
  <si>
    <t>alt</t>
  </si>
  <si>
    <t>neu (G6)</t>
  </si>
  <si>
    <t>neu neu (E6)</t>
  </si>
  <si>
    <t>U Plan:</t>
  </si>
  <si>
    <t>U LBI:</t>
  </si>
  <si>
    <t>U Plan in AE2:</t>
  </si>
  <si>
    <t>U Plan oder AF2:</t>
  </si>
  <si>
    <t>LBI &lt;&gt; 111</t>
  </si>
  <si>
    <t>U Plan = AF27</t>
  </si>
  <si>
    <t>Plan AF2 = AF27</t>
  </si>
  <si>
    <t>Rentenalter?</t>
  </si>
  <si>
    <t>720  /  R1  /  Bb_Plan  /  A2</t>
  </si>
  <si>
    <t>21002005</t>
  </si>
  <si>
    <t>720  /  R1  /  Bb_Plan  /  A2  /  UWS50</t>
  </si>
  <si>
    <t>21012001</t>
  </si>
  <si>
    <t>21012005</t>
  </si>
  <si>
    <t>21102001</t>
  </si>
  <si>
    <t>720  /  R1+TK%  /  Bb_Plan  /  A2</t>
  </si>
  <si>
    <t>21102005</t>
  </si>
  <si>
    <t>720  /  R1+TK%  /  Bb_Plan  /  A2  /  UWS50</t>
  </si>
  <si>
    <t>21112001</t>
  </si>
  <si>
    <t>21112005</t>
  </si>
  <si>
    <t>21202001</t>
  </si>
  <si>
    <t>720  /  R1+TK2_RW  /  Bb_Plan  /  A2</t>
  </si>
  <si>
    <t>21202005</t>
  </si>
  <si>
    <t>720  /  R1+TK2_RW  /  Bb_Plan  /  A2  /  UWS50</t>
  </si>
  <si>
    <t>21212001</t>
  </si>
  <si>
    <t>21212005</t>
  </si>
  <si>
    <t>22002001</t>
  </si>
  <si>
    <t>720  /  R2  /  Bb_Plan  /  A2</t>
  </si>
  <si>
    <t>22002005</t>
  </si>
  <si>
    <t>720  /  R2  /  Bb_Plan  /  A2  /  UWS50</t>
  </si>
  <si>
    <t>22012001</t>
  </si>
  <si>
    <t>22012005</t>
  </si>
  <si>
    <t>22102001</t>
  </si>
  <si>
    <t>720  /  R2+TK%  /  Bb_Plan  /  A2</t>
  </si>
  <si>
    <t>22102005</t>
  </si>
  <si>
    <t>720  /  R2+TK%  /  Bb_Plan  /  A2  /  UWS50</t>
  </si>
  <si>
    <t>22112001</t>
  </si>
  <si>
    <t>22112005</t>
  </si>
  <si>
    <t>22202001</t>
  </si>
  <si>
    <t>720  /  R2+TK2_RW  /  Bb_Plan  /  A2</t>
  </si>
  <si>
    <t>22202005</t>
  </si>
  <si>
    <t>720  /  R2+TK2_RW  /  Bb_Plan  /  A2  /  UWS50</t>
  </si>
  <si>
    <t>22212001</t>
  </si>
  <si>
    <t>22212005</t>
  </si>
  <si>
    <t>50002001</t>
  </si>
  <si>
    <t xml:space="preserve">Plan ab AHV-Alter  /  A2  /  </t>
  </si>
  <si>
    <t>50002005</t>
  </si>
  <si>
    <t xml:space="preserve">SE 50+ Plan ab AHV-Alter  /  A2  /  </t>
  </si>
  <si>
    <t>11002101</t>
  </si>
  <si>
    <t>360  /  R1  /  Bb_Plan  /  A2  /  ZS1</t>
  </si>
  <si>
    <t>11002105</t>
  </si>
  <si>
    <t>360  /  R1  /  Bb_Plan  /  A2  /  ZS1  /  UWS50</t>
  </si>
  <si>
    <t>11012101</t>
  </si>
  <si>
    <t>11012105</t>
  </si>
  <si>
    <t>11102101</t>
  </si>
  <si>
    <t>360  /  R1+TK%  /  Bb_Plan  /  A2  /  ZS1</t>
  </si>
  <si>
    <t>11102105</t>
  </si>
  <si>
    <t>360  /  R1+TK%  /  Bb_Plan  /  A2  /  ZS1  /  UWS50</t>
  </si>
  <si>
    <t>11112101</t>
  </si>
  <si>
    <t>11112105</t>
  </si>
  <si>
    <t>11202101</t>
  </si>
  <si>
    <t>360  /  R1+TK2_RW  /  Bb_Plan  /  A2  /  ZS1</t>
  </si>
  <si>
    <t>11202105</t>
  </si>
  <si>
    <t>360  /  R1+TK2_RW  /  Bb_Plan  /  A2  /  ZS1  /  UWS50</t>
  </si>
  <si>
    <t>11212101</t>
  </si>
  <si>
    <t>11212105</t>
  </si>
  <si>
    <t>12002101</t>
  </si>
  <si>
    <t>360  /  R2  /  Bb_Plan  /  A2  /  ZS1</t>
  </si>
  <si>
    <t>12002105</t>
  </si>
  <si>
    <t>360  /  R2  /  Bb_Plan  /  A2  /  ZS1  /  UWS50</t>
  </si>
  <si>
    <t>12012101</t>
  </si>
  <si>
    <t>12012105</t>
  </si>
  <si>
    <t>12102101</t>
  </si>
  <si>
    <t>360  /  R2+TK%  /  Bb_Plan  /  A2  /  ZS1</t>
  </si>
  <si>
    <t>12102105</t>
  </si>
  <si>
    <t>360  /  R2+TK%  /  Bb_Plan  /  A2  /  ZS1  /  UWS50</t>
  </si>
  <si>
    <t>12112101</t>
  </si>
  <si>
    <t>12112105</t>
  </si>
  <si>
    <t>12202101</t>
  </si>
  <si>
    <t>360  /  R2+TK2_RW  /  Bb_Plan  /  A2  /  ZS1</t>
  </si>
  <si>
    <t>12202105</t>
  </si>
  <si>
    <t>360  /  R2+TK2_RW  /  Bb_Plan  /  A2  /  ZS1  /  UWS50</t>
  </si>
  <si>
    <t>12212101</t>
  </si>
  <si>
    <t>12212105</t>
  </si>
  <si>
    <t>21002101</t>
  </si>
  <si>
    <t>720  /  R1  /  Bb_Plan  /  A2  /  ZS1</t>
  </si>
  <si>
    <t>21002105</t>
  </si>
  <si>
    <t>720  /  R1  /  Bb_Plan  /  A2  /  ZS1  /  UWS50</t>
  </si>
  <si>
    <t>21012101</t>
  </si>
  <si>
    <t>21012105</t>
  </si>
  <si>
    <t>21102101</t>
  </si>
  <si>
    <t>720  /  R1+TK%  /  Bb_Plan  /  A2  /  ZS1</t>
  </si>
  <si>
    <t>21102105</t>
  </si>
  <si>
    <t>720  /  R1+TK%  /  Bb_Plan  /  A2  /  ZS1  /  UWS50</t>
  </si>
  <si>
    <t>21112101</t>
  </si>
  <si>
    <t>21112105</t>
  </si>
  <si>
    <t>21202101</t>
  </si>
  <si>
    <t>720  /  R1+TK2_RW  /  Bb_Plan  /  A2  /  ZS1</t>
  </si>
  <si>
    <t>21202105</t>
  </si>
  <si>
    <t>720  /  R1+TK2_RW  /  Bb_Plan  /  A2  /  ZS1  /  UWS50</t>
  </si>
  <si>
    <t>21212101</t>
  </si>
  <si>
    <t>21212105</t>
  </si>
  <si>
    <t>22002101</t>
  </si>
  <si>
    <t>720  /  R2  /  Bb_Plan  /  A2  /  ZS1</t>
  </si>
  <si>
    <t>22002105</t>
  </si>
  <si>
    <t>720  /  R2  /  Bb_Plan  /  A2  /  ZS1  /  UWS50</t>
  </si>
  <si>
    <t>22012101</t>
  </si>
  <si>
    <t>22012105</t>
  </si>
  <si>
    <t>22102101</t>
  </si>
  <si>
    <t>Zusatzblatt</t>
  </si>
  <si>
    <t>S5:S12</t>
  </si>
  <si>
    <t>Grenzbeträge 2015/2016</t>
  </si>
  <si>
    <t>Rücktrittsalter</t>
  </si>
  <si>
    <t>= Monatsrente</t>
  </si>
  <si>
    <t>Zusatzblatt zum Versicherungsausweis</t>
  </si>
  <si>
    <t>B42</t>
  </si>
  <si>
    <t>Zinssatz 2015 1,75%</t>
  </si>
  <si>
    <t>Details Altersleistungen</t>
  </si>
  <si>
    <t>2016 statt 2014</t>
  </si>
  <si>
    <t>SE 50+/vor 1.7.2011 gelöscht</t>
  </si>
  <si>
    <t>SE: Eintritt ab 50</t>
  </si>
  <si>
    <t>T52:T57</t>
  </si>
  <si>
    <t>Formel (gerundet)</t>
  </si>
  <si>
    <t>E23</t>
  </si>
  <si>
    <t>E13/M7:M8</t>
  </si>
  <si>
    <r>
      <t>1.</t>
    </r>
    <r>
      <rPr>
        <sz val="10"/>
        <rFont val="Arial"/>
        <family val="2"/>
      </rPr>
      <t xml:space="preserve">  Markieren Sie in der Info-Zeile 15 die Zellen A bis AC.</t>
    </r>
  </si>
  <si>
    <r>
      <t>2.</t>
    </r>
    <r>
      <rPr>
        <sz val="10"/>
        <rFont val="Arial"/>
        <family val="2"/>
      </rPr>
      <t xml:space="preserve">  Kopieren Sie die Zellen mit  </t>
    </r>
    <r>
      <rPr>
        <i/>
        <sz val="10"/>
        <rFont val="Arial"/>
        <family val="2"/>
      </rPr>
      <t>Bearbeiten &gt; Kopieren</t>
    </r>
    <r>
      <rPr>
        <sz val="10"/>
        <rFont val="Arial"/>
        <family val="2"/>
      </rPr>
      <t xml:space="preserve"> oder </t>
    </r>
    <r>
      <rPr>
        <i/>
        <sz val="10"/>
        <rFont val="Arial"/>
        <family val="2"/>
      </rPr>
      <t>CTRL+C</t>
    </r>
  </si>
  <si>
    <r>
      <t>3.</t>
    </r>
    <r>
      <rPr>
        <sz val="10"/>
        <rFont val="Arial"/>
        <family val="2"/>
      </rPr>
      <t xml:space="preserve">  Klicken Sie in im untenstehenden Archiv oder in Ihrer Exceldatei in das Feld A einer neuen Zeile.</t>
    </r>
  </si>
  <si>
    <t>T12</t>
  </si>
  <si>
    <t>UVG-Limite</t>
  </si>
  <si>
    <t>F14</t>
  </si>
  <si>
    <t>Ende Oktober 2015</t>
  </si>
  <si>
    <t>Bundesrat</t>
  </si>
  <si>
    <t>Mitte November 2015</t>
  </si>
  <si>
    <t>Stiftungsrat</t>
  </si>
  <si>
    <t>PAT-Zins 2016</t>
  </si>
  <si>
    <t>Grenzbeträge 2017/2018</t>
  </si>
  <si>
    <t>Ende Oktober 2016</t>
  </si>
  <si>
    <t>BVG-Mindestzins 2016</t>
  </si>
  <si>
    <t>BVG-Mindestzins 2017</t>
  </si>
  <si>
    <t>Mitte November 2016</t>
  </si>
  <si>
    <t>PAT-Zins 2017</t>
  </si>
  <si>
    <t>Ende November 2015</t>
  </si>
  <si>
    <t>Tool 2015-2017</t>
  </si>
  <si>
    <t>Ende November 2016</t>
  </si>
  <si>
    <t>Tool 2016-2018</t>
  </si>
  <si>
    <t>Ablauf</t>
  </si>
  <si>
    <t>Ende Oktober 2017</t>
  </si>
  <si>
    <t>Mitte November 2017</t>
  </si>
  <si>
    <t>Ende November 2017</t>
  </si>
  <si>
    <t>BVG-Mindestzins 2018</t>
  </si>
  <si>
    <t>PAT-Zins 2018</t>
  </si>
  <si>
    <t>September 2015</t>
  </si>
  <si>
    <t>N1:P1</t>
  </si>
  <si>
    <r>
      <t>Formel (nicht nach 31.12.";</t>
    </r>
    <r>
      <rPr>
        <b/>
        <sz val="10"/>
        <rFont val="Arial"/>
        <family val="2"/>
      </rPr>
      <t>N</t>
    </r>
    <r>
      <rPr>
        <sz val="10"/>
        <rFont val="Arial"/>
        <family val="2"/>
      </rPr>
      <t>1)</t>
    </r>
  </si>
  <si>
    <t>M30</t>
  </si>
  <si>
    <t>Tool 2014-2016</t>
  </si>
  <si>
    <t>Tool 2017-2019</t>
  </si>
  <si>
    <t>B43/F43</t>
  </si>
  <si>
    <t>J11</t>
  </si>
  <si>
    <t>B44</t>
  </si>
  <si>
    <t>fix</t>
  </si>
  <si>
    <t>M28</t>
  </si>
  <si>
    <t>B43</t>
  </si>
  <si>
    <t>Zinssatz 2016</t>
  </si>
  <si>
    <t>M28/M30</t>
  </si>
  <si>
    <t>Version</t>
  </si>
  <si>
    <t>Zeile 40</t>
  </si>
  <si>
    <t>Geburtsdatum Ehegatte (gem. Tf GO, 27.11.15)</t>
  </si>
  <si>
    <t>Rente
o.Z.</t>
  </si>
  <si>
    <t>BVG Min.:
Zins</t>
  </si>
  <si>
    <t>2022 ff.</t>
  </si>
  <si>
    <t>JAHRESBEITRÄGE IN CHF</t>
  </si>
  <si>
    <t>DIVERSE ANGABEN IN CHF</t>
  </si>
  <si>
    <t>Jahreslohn in CHF</t>
  </si>
  <si>
    <t>Voraussichtliche Altersleistungen</t>
  </si>
  <si>
    <t>im Alter 60</t>
  </si>
  <si>
    <t>im Alter 58</t>
  </si>
  <si>
    <t>Alterskinderrente (pro Kind) im AHV-Alter</t>
  </si>
  <si>
    <t>Kapital, mit</t>
  </si>
  <si>
    <t>Risikoleistungen</t>
  </si>
  <si>
    <t xml:space="preserve">                   Jahresrenten, mit</t>
  </si>
  <si>
    <t>Jahresrenten</t>
  </si>
  <si>
    <t>Hinterbliebenenrente im Todesfall</t>
  </si>
  <si>
    <t>Kinderrente bei Invalidität oder Tod (pro Kind)</t>
  </si>
  <si>
    <t>Beitragsart</t>
  </si>
  <si>
    <t>*</t>
  </si>
  <si>
    <t>Proj.-zins*</t>
  </si>
  <si>
    <t>1.7</t>
  </si>
  <si>
    <t xml:space="preserve">Personenkreis / </t>
  </si>
  <si>
    <t>Name / Vorname</t>
  </si>
  <si>
    <t>M/F</t>
  </si>
  <si>
    <t>Sparen</t>
  </si>
  <si>
    <t>Verwaltungskostenbeitrag</t>
  </si>
  <si>
    <t>Total jährliche Beiträge</t>
  </si>
  <si>
    <t>alles</t>
  </si>
  <si>
    <t>A15/A16</t>
  </si>
  <si>
    <r>
      <t xml:space="preserve">Tool für </t>
    </r>
    <r>
      <rPr>
        <b/>
        <sz val="10"/>
        <rFont val="Arial"/>
        <family val="2"/>
      </rPr>
      <t>2017</t>
    </r>
  </si>
  <si>
    <t>F14/J11</t>
  </si>
  <si>
    <t>nur für 2017</t>
  </si>
  <si>
    <t>A51</t>
  </si>
  <si>
    <t>Text</t>
  </si>
  <si>
    <t>K18:AL34</t>
  </si>
  <si>
    <t>Risikobeiträge 2017</t>
  </si>
  <si>
    <t>Leistungen</t>
  </si>
  <si>
    <t>Z61:AN89</t>
  </si>
  <si>
    <t>neue Umwandlungssätze</t>
  </si>
  <si>
    <t>A140:G229</t>
  </si>
  <si>
    <t>anwendbarer Umwandlungssatz</t>
  </si>
  <si>
    <t>neue Darstellung</t>
  </si>
  <si>
    <t>F56:G68</t>
  </si>
  <si>
    <t>J68:J69</t>
  </si>
  <si>
    <t>Versichertes Einkommen in CHF</t>
  </si>
  <si>
    <t>* Aufgrund des Urteils A-4467/2011 des Bundesverwaltungsgerichts darf das Sparguthaben gegenüber Dritten,
  namentlich gegenüber dem Arbeitgeber, ohne Ermächtigung des Versicherten nicht ausgewiesen werden.</t>
  </si>
  <si>
    <t>F12:J17, F29:J34</t>
  </si>
  <si>
    <t>überflüssige Zeilen</t>
  </si>
  <si>
    <t>ToK</t>
  </si>
  <si>
    <t>2.6</t>
  </si>
  <si>
    <t>Zeile 35</t>
  </si>
  <si>
    <t>Zeile 58:59</t>
  </si>
  <si>
    <t>M15:M18</t>
  </si>
  <si>
    <t>Kopfzeile</t>
  </si>
  <si>
    <t>EINTRITT VOR 2017</t>
  </si>
  <si>
    <t xml:space="preserve">Mit diesem Vertrag überträgt der/die Selbständigerwerbende der Personalvorsorgestiftung der Ärzte und Tierärzte PAT-BVG die Durchführung der beruflichen Vorsorge gemäss Artikel 48 des Bundesgesetzes über die berufliche Alters-, Hinterlassenen- und Invalidenvorsorge (BVG). Die PAT-BVG ist im Register für die berufliche Vorsorge unter der Nummer BE 01.0059 registriert.
Integrierende Bestandteile dieses Anschlussvertrages sind die von der PAT-BVG erlassenen Reglemente und Ausführungs-bestimmungen. Voraussetzung für das Inkrafttreten dieses Anschlussvertrags ist die definitive Aufnahmebestätigung der PAT-BVG.
</t>
  </si>
  <si>
    <t>Wahl verschiedener Vorsorgepläne - Bildung von Kollektiven gem. Art. 1c BVV2</t>
  </si>
  <si>
    <t>Die Zustimmung der Versicherten bzw. einer durch die Versicherten gewählten Vertretung ist zwingend erforderlich. Der Anschlussvertrag benötigt daher auch die Unterschrift der Versicherten bzw. der durch die Versicherten gewählten Vertretung. Mit den Unterschriften bestätigen Sie, dass Sie für alle zu versichernden Personen ein Anmeldeformular beigelegt haben und sämtliche per Anschlussdatum arbeits- oder erwerbsunfähige Personen unter Ziffer 9 aufgeführt sind.</t>
  </si>
  <si>
    <r>
      <t xml:space="preserve">Besteht eine Krankentaggeldversicherung, kann der Anspruch auf Invalidenleistungen bis zur Erschöpfung des Taggeldan-spruchs aufgeschoben werden, wenn:
a) die versicherte Person anstelle des vollen Lohnes Taggelder der Krankenversicherung erhält, die mindestens 80 Prozent des entgangenen Lohnes betragen, </t>
    </r>
    <r>
      <rPr>
        <u/>
        <sz val="9"/>
        <rFont val="Arial"/>
        <family val="2"/>
      </rPr>
      <t>und</t>
    </r>
    <r>
      <rPr>
        <sz val="9"/>
        <rFont val="Arial"/>
        <family val="2"/>
      </rPr>
      <t xml:space="preserve">
b) die Taggeldversicherung vom Arbeitgeber mindestens zur Hälfte mitfinanziert wurde.</t>
    </r>
  </si>
  <si>
    <t>Der Anschlussvertrag kann von den Vertragsparteien nach Ablauf eines vollen Versicherungsjahres unter Einhaltung einer Kündi-gungsfrist von 6 Monaten auf das Ende eines Versicherungsjahres schriftlich gekündigt werden. Ist der/die Selbständig-erwerbende im Zeitpunkt des Austritts 58 Jahre alt oder älter, wird grundsätzlich eine Altersleistung fällig. Wird nach dem Kündi-gungstermin weiterhin ein AHV-pflichtiges Einkommen erzielt, kann anstelle der Altersleistung die Überweisung der Austritts-leistung auf ein Freizügigkeitskonto beantragt werden.
PAT-BVG kann zudem diesen Anschlussvertrag nach der dritten Zahlungsaufforderung für ausstehende Beiträge mit sofortiger Wirkung auflösen. Damit erlischt der Vorsorgeschutz.
Sind die Voraussetzungen für eine Teilliquidation erfüllt, werden Überschüsse beziehungsweise Fehlbeträge verrechnet. Die Kriterien sind in einem Reglement festgehalten.</t>
  </si>
  <si>
    <t>Die Beiträge sind in der Regel vierteljährlich zu bezahlen. Sie sind jeweils innerhalb von 10 Tagen nach Ablauf der ein- bzw. dreimonatigen Zahlungsperiode zu entrichten. Bei verspäteter Bezahlung sind eine Mahngebühr sowie ein Verzugszins gemäss OR geschuldet. Für nicht bezahlte Beiträge bzw. daraus entstehende Deckungslücken haftet ausschliesslich der/die Selbständig-erwerbende.</t>
  </si>
  <si>
    <t>A53</t>
  </si>
  <si>
    <t>ab 1.1.2017</t>
  </si>
  <si>
    <t>B44:B45</t>
  </si>
  <si>
    <t>aktueller BVG-Zins</t>
  </si>
  <si>
    <t>O35:P37</t>
  </si>
  <si>
    <t>BVG-Zins</t>
  </si>
  <si>
    <t>T5:T57</t>
  </si>
  <si>
    <t>P58</t>
  </si>
  <si>
    <t>J49:J50</t>
  </si>
  <si>
    <t>Zeile 128 ff.</t>
  </si>
  <si>
    <t>Kap. 10</t>
  </si>
  <si>
    <t>Mitgliedschaft Berufsverband bzw. -organisation</t>
  </si>
  <si>
    <t>Sind Sie Mitglied eines der PAT-BVG angeschlossenen Berufsverbandes? 
(ist Voraussetzung für die Aufnahme in die PAT-BVG)</t>
  </si>
  <si>
    <t>Bei welchem?</t>
  </si>
  <si>
    <t>……………………………………………………………………………………………………………………</t>
  </si>
  <si>
    <t>Eine Liste der zugelassenen Berufsverbände bzw. -organisationen findet sich unter www.pat-bvg.ch (unter Downloads &gt; Merkblätter)</t>
  </si>
  <si>
    <t>bei Auswahl "Sparguthaben ausweisen? nein" erscheint "…"</t>
  </si>
  <si>
    <t>Felder mit Box: Leerschlag vor Box mit Arial!</t>
  </si>
  <si>
    <t>B63</t>
  </si>
  <si>
    <t>A.10</t>
  </si>
  <si>
    <t>Zeile 14</t>
  </si>
  <si>
    <t>Eintritt vor oder nach 2017</t>
  </si>
  <si>
    <t>UWS-Eintritt</t>
  </si>
  <si>
    <t>N45:N57</t>
  </si>
  <si>
    <t>B16</t>
  </si>
  <si>
    <t>Formel für Eintritt vor oder nach 2017</t>
  </si>
  <si>
    <r>
      <t xml:space="preserve">Wenn Anspruch auf eine Freizügigkeitsleistung besteht, muss diese in die neue Vorsorge-einrichtung eingebracht werden (Art. 4 Abs. 2bis FZG). Bitte Überweisung auf folgendes Konto veranlassen:
</t>
    </r>
    <r>
      <rPr>
        <i/>
        <sz val="9"/>
        <rFont val="Arial"/>
        <family val="2"/>
      </rPr>
      <t>acrevis Bank AG, zugunsten von: PAT-BVG, 9001 St. Gallen, 
IBAN CH33 0690 0016 0084 3650 2</t>
    </r>
  </si>
  <si>
    <t>Asterisk gelöscht</t>
  </si>
  <si>
    <r>
      <rPr>
        <sz val="9"/>
        <rFont val="Arial"/>
        <family val="2"/>
      </rPr>
      <t xml:space="preserve"> </t>
    </r>
    <r>
      <rPr>
        <sz val="9"/>
        <rFont val="Wingdings 2"/>
        <family val="1"/>
        <charset val="2"/>
      </rPr>
      <t>£</t>
    </r>
    <r>
      <rPr>
        <sz val="9"/>
        <rFont val="Arial"/>
        <family val="2"/>
      </rPr>
      <t xml:space="preserve"> ledig</t>
    </r>
  </si>
  <si>
    <r>
      <rPr>
        <sz val="9"/>
        <rFont val="Arial"/>
        <family val="2"/>
      </rPr>
      <t xml:space="preserve"> </t>
    </r>
    <r>
      <rPr>
        <sz val="9"/>
        <rFont val="Wingdings 2"/>
        <family val="1"/>
        <charset val="2"/>
      </rPr>
      <t>£</t>
    </r>
    <r>
      <rPr>
        <sz val="9"/>
        <rFont val="Arial"/>
        <family val="2"/>
      </rPr>
      <t xml:space="preserve"> verheiratet seit: ................................................</t>
    </r>
  </si>
  <si>
    <r>
      <rPr>
        <sz val="9"/>
        <rFont val="Arial"/>
        <family val="2"/>
      </rPr>
      <t xml:space="preserve"> </t>
    </r>
    <r>
      <rPr>
        <sz val="9"/>
        <rFont val="Wingdings 2"/>
        <family val="1"/>
        <charset val="2"/>
      </rPr>
      <t>£</t>
    </r>
    <r>
      <rPr>
        <sz val="9"/>
        <rFont val="Arial"/>
        <family val="2"/>
      </rPr>
      <t xml:space="preserve"> gerichtlich getrennt</t>
    </r>
  </si>
  <si>
    <r>
      <rPr>
        <sz val="9"/>
        <rFont val="Arial"/>
        <family val="2"/>
      </rPr>
      <t xml:space="preserve"> </t>
    </r>
    <r>
      <rPr>
        <sz val="9"/>
        <rFont val="Wingdings 2"/>
        <family val="1"/>
        <charset val="2"/>
      </rPr>
      <t>£</t>
    </r>
    <r>
      <rPr>
        <sz val="9"/>
        <rFont val="Arial"/>
        <family val="2"/>
      </rPr>
      <t xml:space="preserve"> verwitwet</t>
    </r>
  </si>
  <si>
    <r>
      <rPr>
        <sz val="9"/>
        <rFont val="Arial"/>
        <family val="2"/>
      </rPr>
      <t xml:space="preserve"> </t>
    </r>
    <r>
      <rPr>
        <sz val="9"/>
        <rFont val="Wingdings 2"/>
        <family val="1"/>
        <charset val="2"/>
      </rPr>
      <t>£</t>
    </r>
    <r>
      <rPr>
        <sz val="9"/>
        <rFont val="Arial"/>
        <family val="2"/>
      </rPr>
      <t xml:space="preserve"> aufgelöste Partnerschaft</t>
    </r>
  </si>
  <si>
    <r>
      <rPr>
        <sz val="9"/>
        <rFont val="Arial"/>
        <family val="2"/>
      </rPr>
      <t xml:space="preserve"> </t>
    </r>
    <r>
      <rPr>
        <sz val="9"/>
        <rFont val="Wingdings 2"/>
        <family val="1"/>
        <charset val="2"/>
      </rPr>
      <t>£</t>
    </r>
    <r>
      <rPr>
        <sz val="4"/>
        <rFont val="Arial"/>
        <family val="2"/>
      </rPr>
      <t xml:space="preserve"> </t>
    </r>
    <r>
      <rPr>
        <sz val="9"/>
        <rFont val="Arial"/>
        <family val="2"/>
      </rPr>
      <t>geschieden</t>
    </r>
  </si>
  <si>
    <r>
      <rPr>
        <sz val="9"/>
        <rFont val="Arial"/>
        <family val="2"/>
      </rPr>
      <t xml:space="preserve"> </t>
    </r>
    <r>
      <rPr>
        <sz val="9"/>
        <rFont val="Wingdings 2"/>
        <family val="1"/>
        <charset val="2"/>
      </rPr>
      <t>£</t>
    </r>
    <r>
      <rPr>
        <sz val="9"/>
        <rFont val="Arial"/>
        <family val="2"/>
      </rPr>
      <t xml:space="preserve"> </t>
    </r>
    <r>
      <rPr>
        <i/>
        <sz val="9"/>
        <rFont val="Arial"/>
        <family val="2"/>
      </rPr>
      <t>medisuisse</t>
    </r>
  </si>
  <si>
    <r>
      <rPr>
        <sz val="9"/>
        <rFont val="Arial"/>
        <family val="2"/>
      </rPr>
      <t xml:space="preserve"> </t>
    </r>
    <r>
      <rPr>
        <sz val="9"/>
        <rFont val="Wingdings 2"/>
        <family val="1"/>
        <charset val="2"/>
      </rPr>
      <t>£</t>
    </r>
    <r>
      <rPr>
        <sz val="9"/>
        <rFont val="Arial"/>
        <family val="2"/>
      </rPr>
      <t xml:space="preserve"> </t>
    </r>
    <r>
      <rPr>
        <i/>
        <sz val="9"/>
        <rFont val="Arial"/>
        <family val="2"/>
      </rPr>
      <t>................................................................................</t>
    </r>
  </si>
  <si>
    <r>
      <rPr>
        <sz val="9"/>
        <rFont val="Arial"/>
        <family val="2"/>
      </rPr>
      <t xml:space="preserve"> </t>
    </r>
    <r>
      <rPr>
        <sz val="9"/>
        <rFont val="Wingdings 2"/>
        <family val="1"/>
        <charset val="2"/>
      </rPr>
      <t>£</t>
    </r>
    <r>
      <rPr>
        <sz val="9"/>
        <rFont val="Arial"/>
        <family val="2"/>
      </rPr>
      <t xml:space="preserve"> ja</t>
    </r>
  </si>
  <si>
    <r>
      <rPr>
        <sz val="9"/>
        <rFont val="Arial"/>
        <family val="2"/>
      </rPr>
      <t xml:space="preserve"> </t>
    </r>
    <r>
      <rPr>
        <sz val="9"/>
        <rFont val="Wingdings 2"/>
        <family val="1"/>
        <charset val="2"/>
      </rPr>
      <t>£</t>
    </r>
    <r>
      <rPr>
        <sz val="9"/>
        <rFont val="Arial"/>
        <family val="2"/>
      </rPr>
      <t xml:space="preserve"> nein</t>
    </r>
  </si>
  <si>
    <r>
      <rPr>
        <sz val="9"/>
        <rFont val="Arial"/>
        <family val="2"/>
      </rPr>
      <t xml:space="preserve"> </t>
    </r>
    <r>
      <rPr>
        <sz val="9"/>
        <rFont val="Wingdings 2"/>
        <family val="1"/>
        <charset val="2"/>
      </rPr>
      <t>£</t>
    </r>
    <r>
      <rPr>
        <sz val="9"/>
        <rFont val="Arial"/>
        <family val="2"/>
      </rPr>
      <t xml:space="preserve"> als Selbständigerwerbender</t>
    </r>
  </si>
  <si>
    <r>
      <rPr>
        <sz val="9"/>
        <rFont val="Arial"/>
        <family val="2"/>
      </rPr>
      <t xml:space="preserve"> </t>
    </r>
    <r>
      <rPr>
        <sz val="9"/>
        <rFont val="Wingdings 2"/>
        <family val="1"/>
        <charset val="2"/>
      </rPr>
      <t>£</t>
    </r>
    <r>
      <rPr>
        <sz val="9"/>
        <rFont val="Arial"/>
        <family val="2"/>
      </rPr>
      <t xml:space="preserve"> als Arbeitnehmer</t>
    </r>
  </si>
  <si>
    <r>
      <rPr>
        <sz val="9"/>
        <rFont val="Arial"/>
        <family val="2"/>
      </rPr>
      <t xml:space="preserve"> </t>
    </r>
    <r>
      <rPr>
        <sz val="9"/>
        <rFont val="Wingdings 2"/>
        <family val="1"/>
        <charset val="2"/>
      </rPr>
      <t>£</t>
    </r>
    <r>
      <rPr>
        <sz val="9"/>
        <rFont val="Arial"/>
        <family val="2"/>
      </rPr>
      <t xml:space="preserve"> PAT-BVG</t>
    </r>
  </si>
  <si>
    <r>
      <rPr>
        <sz val="9"/>
        <rFont val="Arial"/>
        <family val="2"/>
      </rPr>
      <t xml:space="preserve"> </t>
    </r>
    <r>
      <rPr>
        <sz val="9"/>
        <rFont val="Wingdings 2"/>
        <family val="1"/>
        <charset val="2"/>
      </rPr>
      <t>£</t>
    </r>
    <r>
      <rPr>
        <sz val="9"/>
        <rFont val="Arial"/>
        <family val="2"/>
      </rPr>
      <t xml:space="preserve"> ............................................................................................................</t>
    </r>
  </si>
  <si>
    <t>Angemessenheit</t>
  </si>
  <si>
    <t>neues Tabellenblatt</t>
  </si>
  <si>
    <t>Projektion</t>
  </si>
  <si>
    <t>lfd. Jahr</t>
  </si>
  <si>
    <t>MM</t>
  </si>
  <si>
    <t>BERECHNUNG DER ANGEMESSENHEIT GEMÄSS ART. 1 BVV 2</t>
  </si>
  <si>
    <t>Faktor</t>
  </si>
  <si>
    <t>Übersteuerung tatsächliches AHV-Einkommen:</t>
  </si>
  <si>
    <t>Kontrolle</t>
  </si>
  <si>
    <t>Jahre</t>
  </si>
  <si>
    <t xml:space="preserve">Definition der Angemessenheit gemäss Art. 1 BVV 2: </t>
  </si>
  <si>
    <t>AHV- und PK-Renten betragen nicht mehr als 85% des AHV-Einkommens.</t>
  </si>
  <si>
    <t>Voraussichtliche Altersrente in CHF, projiziert mit Zins*</t>
  </si>
  <si>
    <t>Tatsächlicher AHV-Jahreslohn in CHF</t>
  </si>
  <si>
    <t>Angemessenheit für Renteneinkommen gem. Art. 1 BVV 2</t>
  </si>
  <si>
    <t>Annahme: maximale einfache AHV-Rente im AHV-Alter</t>
  </si>
  <si>
    <t>1)</t>
  </si>
  <si>
    <t xml:space="preserve">Maximal angemessene Pensionskassenrente </t>
  </si>
  <si>
    <t>Maximal zulässiges Renteneinkommen</t>
  </si>
  <si>
    <t>Möglicher Einkauf gemäss Vorsorgereglement</t>
  </si>
  <si>
    <t>Pensionskassenrente bei maximalem reglementarischem Einkauf</t>
  </si>
  <si>
    <t>Altersendkapitalüberschuss</t>
  </si>
  <si>
    <t>Reduktion reglementarischer maximaler Einkauf für Angemessenheit</t>
  </si>
  <si>
    <t>* Berücksichtigt werden nur vollständige Jahre, abdiskontiert mit dem BVG-Mindestzinssatz.</t>
  </si>
  <si>
    <t>MAXIMALER ANGEMESSENER EINKAUF PER BERECHNUNGSJAHR</t>
  </si>
  <si>
    <t>Annäherungswert = 20% des Jahreslohnes + 40% max. AHV-Altersrente</t>
  </si>
  <si>
    <t>einfache maximale AHV-Altersrente</t>
  </si>
  <si>
    <t>Berechnung der Angemessenheit gemäss Art. 1 BVV 2</t>
  </si>
  <si>
    <t>Rentenüberschuss gegenüber maximal angemessener Pensionskassenrente</t>
  </si>
  <si>
    <t>P24:P27</t>
  </si>
  <si>
    <t>C24:C27</t>
  </si>
  <si>
    <t>1) Annahme Berechnung der einfachen AHV-Altersrente:</t>
  </si>
  <si>
    <t>O3</t>
  </si>
  <si>
    <t>Eintrittsjahr in PAT-BVG</t>
  </si>
  <si>
    <t>V3:V12</t>
  </si>
  <si>
    <t>Zahlen 2018 (mit "Zellen einfügen")</t>
  </si>
  <si>
    <t>neu 2018</t>
  </si>
  <si>
    <t>F15</t>
  </si>
  <si>
    <t>Formel, damit auch 2017 möglich: (J12-365) / M1-1</t>
  </si>
  <si>
    <t>C15</t>
  </si>
  <si>
    <t>Formel für Frauen, die 2018 das Referenzalter erreichen</t>
  </si>
  <si>
    <t>Zins 1. Jahr:</t>
  </si>
  <si>
    <t>Zins:</t>
  </si>
  <si>
    <t>L58:P58</t>
  </si>
  <si>
    <t>J50</t>
  </si>
  <si>
    <t>Formel (gem. Auftrag A. Frei)</t>
  </si>
  <si>
    <t>A6  8_11_16_19%</t>
  </si>
  <si>
    <t>A7  9_12_17_20%</t>
  </si>
  <si>
    <t>A8  5_7_10_12%</t>
  </si>
  <si>
    <t>A9  6_8_11_13%</t>
  </si>
  <si>
    <t>gemäss SIFO</t>
  </si>
  <si>
    <t>300% AHVmax</t>
  </si>
  <si>
    <t>Ermittlung versicherter Lohn bei L2/L5</t>
  </si>
  <si>
    <t xml:space="preserve">LBI </t>
  </si>
  <si>
    <t>SIFO-Maximum</t>
  </si>
  <si>
    <t>A6</t>
  </si>
  <si>
    <t>A7</t>
  </si>
  <si>
    <t>A9</t>
  </si>
  <si>
    <t>BbA6</t>
  </si>
  <si>
    <t>BbA7</t>
  </si>
  <si>
    <t>BbA8</t>
  </si>
  <si>
    <t>BbA9</t>
  </si>
  <si>
    <t>Erweiterungen neue AGS/Plafonds</t>
  </si>
  <si>
    <t>A6 (8/11/16/19%)</t>
  </si>
  <si>
    <t>A7 (9/12/17/20%)</t>
  </si>
  <si>
    <t>A8 (5/7/10/12%)</t>
  </si>
  <si>
    <t>A9 (6/8/11/13%)</t>
  </si>
  <si>
    <t>360  /  R1  /  Bb_Plan  /  A6</t>
  </si>
  <si>
    <t>360  /  R1  /  Bb_Plan  /  A6  /  UWS50</t>
  </si>
  <si>
    <t>360  /  R1+TK%  /  Bb_Plan  /  A6</t>
  </si>
  <si>
    <t>360  /  R1+TK%  /  Bb_Plan  /  A6  /  UWS50</t>
  </si>
  <si>
    <t>360  /  R1+TK2_RW  /  Bb_Plan  /  A6</t>
  </si>
  <si>
    <t>360  /  R1+TK2_RW  /  Bb_Plan  /  A6  /  UWS50</t>
  </si>
  <si>
    <t>360  /  R2  /  Bb_Plan  /  A6</t>
  </si>
  <si>
    <t>360  /  R2  /  Bb_Plan  /  A6  /  UWS50</t>
  </si>
  <si>
    <t>360  /  R2+TK%  /  Bb_Plan  /  A6</t>
  </si>
  <si>
    <t>360  /  R2+TK%  /  Bb_Plan  /  A6  /  UWS50</t>
  </si>
  <si>
    <t>360  /  R2+TK2_RW  /  Bb_Plan  /  A6</t>
  </si>
  <si>
    <t>360  /  R2+TK2_RW  /  Bb_Plan  /  A6  /  UWS50</t>
  </si>
  <si>
    <t>720  /  R1  /  Bb_Plan  /  A6</t>
  </si>
  <si>
    <t>720  /  R1  /  Bb_Plan  /  A6  /  UWS50</t>
  </si>
  <si>
    <t>720  /  R1+TK%  /  Bb_Plan  /  A6</t>
  </si>
  <si>
    <t>720  /  R1+TK%  /  Bb_Plan  /  A6  /  UWS50</t>
  </si>
  <si>
    <t>720  /  R1+TK2_RW  /  Bb_Plan  /  A6</t>
  </si>
  <si>
    <t>720  /  R1+TK2_RW  /  Bb_Plan  /  A6  /  UWS50</t>
  </si>
  <si>
    <t>720  /  R2  /  Bb_Plan  /  A6</t>
  </si>
  <si>
    <t>720  /  R2  /  Bb_Plan  /  A6  /  UWS50</t>
  </si>
  <si>
    <t>720  /  R2+TK%  /  Bb_Plan  /  A6</t>
  </si>
  <si>
    <t>720  /  R2+TK%  /  Bb_Plan  /  A6  /  UWS50</t>
  </si>
  <si>
    <t>720  /  R2+TK2_RW  /  Bb_Plan  /  A6</t>
  </si>
  <si>
    <t>720  /  R2+TK2_RW  /  Bb_Plan  /  A6  /  UWS50</t>
  </si>
  <si>
    <t xml:space="preserve">Plan ab AHV-Alter  /  A6  /  </t>
  </si>
  <si>
    <t xml:space="preserve">SE 50+ Plan ab AHV-Alter  /  A6  /  </t>
  </si>
  <si>
    <t>360  /  R1  /  Bb_Plan  /  A6  /  ZS1</t>
  </si>
  <si>
    <t>360  /  R1  /  Bb_Plan  /  A6  /  ZS1  /  UWS50</t>
  </si>
  <si>
    <t>360  /  R1+TK%  /  Bb_Plan  /  A6  /  ZS1</t>
  </si>
  <si>
    <t>360  /  R1+TK%  /  Bb_Plan  /  A6  /  ZS1  /  UWS50</t>
  </si>
  <si>
    <t>360  /  R1+TK2_RW  /  Bb_Plan  /  A6  /  ZS1</t>
  </si>
  <si>
    <t>360  /  R1+TK2_RW  /  Bb_Plan  /  A6  /  ZS1  /  UWS50</t>
  </si>
  <si>
    <t>360  /  R2  /  Bb_Plan  /  A6  /  ZS1</t>
  </si>
  <si>
    <t>360  /  R2  /  Bb_Plan  /  A6  /  ZS1  /  UWS50</t>
  </si>
  <si>
    <t>360  /  R2+TK%  /  Bb_Plan  /  A6  /  ZS1</t>
  </si>
  <si>
    <t>360  /  R2+TK%  /  Bb_Plan  /  A6  /  ZS1  /  UWS50</t>
  </si>
  <si>
    <t>360  /  R2+TK2_RW  /  Bb_Plan  /  A6  /  ZS1</t>
  </si>
  <si>
    <t>360  /  R2+TK2_RW  /  Bb_Plan  /  A6  /  ZS1  /  UWS50</t>
  </si>
  <si>
    <t>720  /  R1  /  Bb_Plan  /  A6  /  ZS1</t>
  </si>
  <si>
    <t>720  /  R1  /  Bb_Plan  /  A6  /  ZS1  /  UWS50</t>
  </si>
  <si>
    <t>720  /  R1+TK%  /  Bb_Plan  /  A6  /  ZS1</t>
  </si>
  <si>
    <t>720  /  R1+TK%  /  Bb_Plan  /  A6  /  ZS1  /  UWS50</t>
  </si>
  <si>
    <t>720  /  R1+TK2_RW  /  Bb_Plan  /  A6  /  ZS1</t>
  </si>
  <si>
    <t>720  /  R1+TK2_RW  /  Bb_Plan  /  A6  /  ZS1  /  UWS50</t>
  </si>
  <si>
    <t>720  /  R2  /  Bb_Plan  /  A6  /  ZS1</t>
  </si>
  <si>
    <t>720  /  R2  /  Bb_Plan  /  A6  /  ZS1  /  UWS50</t>
  </si>
  <si>
    <t>720  /  R2+TK%  /  Bb_Plan  /  A6  /  ZS1</t>
  </si>
  <si>
    <t>720  /  R2+TK%  /  Bb_Plan  /  A6  /  ZS1  /  UWS50</t>
  </si>
  <si>
    <t>720  /  R2+TK2_RW  /  Bb_Plan  /  A6  /  ZS1</t>
  </si>
  <si>
    <t>720  /  R2+TK2_RW  /  Bb_Plan  /  A6  /  ZS1  /  UWS50</t>
  </si>
  <si>
    <t>Plan ab AHV-Alter  /  A6  /  ZS1</t>
  </si>
  <si>
    <t>SE 50+ Plan ab AHV-Alter  /  A6  /  ZS1</t>
  </si>
  <si>
    <t>360  /  R1  /  Bb_Plan  /  A6  /  ZS2</t>
  </si>
  <si>
    <t>360  /  R1  /  Bb_Plan  /  A6  /  ZS2  /  UWS50</t>
  </si>
  <si>
    <t>360  /  R1+TK%  /  Bb_Plan  /  A6  /  ZS2</t>
  </si>
  <si>
    <t>360  /  R1+TK%  /  Bb_Plan  /  A6  /  ZS2  /  UWS50</t>
  </si>
  <si>
    <t>360  /  R1+TK2_RW  /  Bb_Plan  /  A6  /  ZS2</t>
  </si>
  <si>
    <t>360  /  R1+TK2_RW  /  Bb_Plan  /  A6  /  ZS2  /  UWS50</t>
  </si>
  <si>
    <t>360  /  R2  /  Bb_Plan  /  A6  /  ZS2</t>
  </si>
  <si>
    <t>360  /  R2  /  Bb_Plan  /  A6  /  ZS2  /  UWS50</t>
  </si>
  <si>
    <t>360  /  R2+TK%  /  Bb_Plan  /  A6  /  ZS2</t>
  </si>
  <si>
    <t>360  /  R2+TK%  /  Bb_Plan  /  A6  /  ZS2  /  UWS50</t>
  </si>
  <si>
    <t>360  /  R2+TK2_RW  /  Bb_Plan  /  A6  /  ZS2</t>
  </si>
  <si>
    <t>360  /  R2+TK2_RW  /  Bb_Plan  /  A6  /  ZS2  /  UWS50</t>
  </si>
  <si>
    <t>720  /  R1  /  Bb_Plan  /  A6  /  ZS2</t>
  </si>
  <si>
    <t>720  /  R1  /  Bb_Plan  /  A6  /  ZS2  /  UWS50</t>
  </si>
  <si>
    <t>720  /  R1+TK%  /  Bb_Plan  /  A6  /  ZS2</t>
  </si>
  <si>
    <t>720  /  R1+TK%  /  Bb_Plan  /  A6  /  ZS2  /  UWS50</t>
  </si>
  <si>
    <t>720  /  R1+TK2_RW  /  Bb_Plan  /  A6  /  ZS2</t>
  </si>
  <si>
    <t>720  /  R1+TK2_RW  /  Bb_Plan  /  A6  /  ZS2  /  UWS50</t>
  </si>
  <si>
    <t>720  /  R2  /  Bb_Plan  /  A6  /  ZS2</t>
  </si>
  <si>
    <t>720  /  R2  /  Bb_Plan  /  A6  /  ZS2  /  UWS50</t>
  </si>
  <si>
    <t>720  /  R2+TK%  /  Bb_Plan  /  A6  /  ZS2</t>
  </si>
  <si>
    <t>720  /  R2+TK%  /  Bb_Plan  /  A6  /  ZS2  /  UWS50</t>
  </si>
  <si>
    <t>720  /  R2+TK2_RW  /  Bb_Plan  /  A6  /  ZS2</t>
  </si>
  <si>
    <t>720  /  R2+TK2_RW  /  Bb_Plan  /  A6  /  ZS2  /  UWS50</t>
  </si>
  <si>
    <t>Plan ab AHV-Alter  /  A6  /  ZS2</t>
  </si>
  <si>
    <t>SE 50+ Plan ab AHV-Alter  /  A6  /  ZS2</t>
  </si>
  <si>
    <t>360  /  R1  /  Bb_Plan  /  A7</t>
  </si>
  <si>
    <t>360  /  R1  /  Bb_Plan  /  A7  /  UWS50</t>
  </si>
  <si>
    <t>360  /  R1+TK%  /  Bb_Plan  /  A7</t>
  </si>
  <si>
    <t>360  /  R1+TK%  /  Bb_Plan  /  A7  /  UWS50</t>
  </si>
  <si>
    <t>360  /  R1+TK2_RW  /  Bb_Plan  /  A7</t>
  </si>
  <si>
    <t>360  /  R1+TK2_RW  /  Bb_Plan  /  A7  /  UWS50</t>
  </si>
  <si>
    <t>360  /  R2  /  Bb_Plan  /  A7</t>
  </si>
  <si>
    <t>360  /  R2  /  Bb_Plan  /  A7  /  UWS50</t>
  </si>
  <si>
    <t>360  /  R2+TK%  /  Bb_Plan  /  A7</t>
  </si>
  <si>
    <t>360  /  R2+TK%  /  Bb_Plan  /  A7  /  UWS50</t>
  </si>
  <si>
    <t>360  /  R2+TK2_RW  /  Bb_Plan  /  A7</t>
  </si>
  <si>
    <t>360  /  R2+TK2_RW  /  Bb_Plan  /  A7  /  UWS50</t>
  </si>
  <si>
    <t>720  /  R1  /  Bb_Plan  /  A7</t>
  </si>
  <si>
    <t>720  /  R1  /  Bb_Plan  /  A7  /  UWS50</t>
  </si>
  <si>
    <t>720  /  R1+TK%  /  Bb_Plan  /  A7</t>
  </si>
  <si>
    <t>720  /  R1+TK%  /  Bb_Plan  /  A7  /  UWS50</t>
  </si>
  <si>
    <t>720  /  R1+TK2_RW  /  Bb_Plan  /  A7</t>
  </si>
  <si>
    <t>720  /  R1+TK2_RW  /  Bb_Plan  /  A7  /  UWS50</t>
  </si>
  <si>
    <t>720  /  R2  /  Bb_Plan  /  A7</t>
  </si>
  <si>
    <t>720  /  R2  /  Bb_Plan  /  A7  /  UWS50</t>
  </si>
  <si>
    <t>720  /  R2+TK%  /  Bb_Plan  /  A7</t>
  </si>
  <si>
    <t>720  /  R2+TK%  /  Bb_Plan  /  A7  /  UWS50</t>
  </si>
  <si>
    <t>720  /  R2+TK2_RW  /  Bb_Plan  /  A7</t>
  </si>
  <si>
    <t>720  /  R2+TK2_RW  /  Bb_Plan  /  A7  /  UWS50</t>
  </si>
  <si>
    <t xml:space="preserve">Plan ab AHV-Alter  /  A7  /  </t>
  </si>
  <si>
    <t xml:space="preserve">SE 50+ Plan ab AHV-Alter  /  A7  /  </t>
  </si>
  <si>
    <t>360  /  R1  /  Bb_Plan  /  A7  /  ZS1</t>
  </si>
  <si>
    <t>360  /  R1  /  Bb_Plan  /  A7  /  ZS1  /  UWS50</t>
  </si>
  <si>
    <t>360  /  R1+TK%  /  Bb_Plan  /  A7  /  ZS1</t>
  </si>
  <si>
    <t>360  /  R1+TK%  /  Bb_Plan  /  A7  /  ZS1  /  UWS50</t>
  </si>
  <si>
    <t>360  /  R1+TK2_RW  /  Bb_Plan  /  A7  /  ZS1</t>
  </si>
  <si>
    <t>360  /  R1+TK2_RW  /  Bb_Plan  /  A7  /  ZS1  /  UWS50</t>
  </si>
  <si>
    <t>360  /  R2  /  Bb_Plan  /  A7  /  ZS1</t>
  </si>
  <si>
    <t>360  /  R2  /  Bb_Plan  /  A7  /  ZS1  /  UWS50</t>
  </si>
  <si>
    <t>360  /  R2+TK%  /  Bb_Plan  /  A7  /  ZS1</t>
  </si>
  <si>
    <t>360  /  R2+TK%  /  Bb_Plan  /  A7  /  ZS1  /  UWS50</t>
  </si>
  <si>
    <t>360  /  R2+TK2_RW  /  Bb_Plan  /  A7  /  ZS1</t>
  </si>
  <si>
    <t>360  /  R2+TK2_RW  /  Bb_Plan  /  A7  /  ZS1  /  UWS50</t>
  </si>
  <si>
    <t>720  /  R1  /  Bb_Plan  /  A7  /  ZS1</t>
  </si>
  <si>
    <t>720  /  R1  /  Bb_Plan  /  A7  /  ZS1  /  UWS50</t>
  </si>
  <si>
    <t>720  /  R1+TK%  /  Bb_Plan  /  A7  /  ZS1</t>
  </si>
  <si>
    <t>720  /  R1+TK%  /  Bb_Plan  /  A7  /  ZS1  /  UWS50</t>
  </si>
  <si>
    <t>720  /  R1+TK2_RW  /  Bb_Plan  /  A7  /  ZS1</t>
  </si>
  <si>
    <t>720  /  R1+TK2_RW  /  Bb_Plan  /  A7  /  ZS1  /  UWS50</t>
  </si>
  <si>
    <t>720  /  R2  /  Bb_Plan  /  A7  /  ZS1</t>
  </si>
  <si>
    <t>720  /  R2  /  Bb_Plan  /  A7  /  ZS1  /  UWS50</t>
  </si>
  <si>
    <t>720  /  R2+TK%  /  Bb_Plan  /  A7  /  ZS1</t>
  </si>
  <si>
    <t>720  /  R2+TK%  /  Bb_Plan  /  A7  /  ZS1  /  UWS50</t>
  </si>
  <si>
    <t>720  /  R2+TK2_RW  /  Bb_Plan  /  A7  /  ZS1</t>
  </si>
  <si>
    <t>720  /  R2+TK2_RW  /  Bb_Plan  /  A7  /  ZS1  /  UWS50</t>
  </si>
  <si>
    <t>Plan ab AHV-Alter  /  A7  /  ZS1</t>
  </si>
  <si>
    <t>SE 50+ Plan ab AHV-Alter  /  A7  /  ZS1</t>
  </si>
  <si>
    <t>360  /  R1  /  Bb_Plan  /  A7  /  ZS2</t>
  </si>
  <si>
    <t>360  /  R1  /  Bb_Plan  /  A7  /  ZS2  /  UWS50</t>
  </si>
  <si>
    <t>360  /  R1+TK%  /  Bb_Plan  /  A7  /  ZS2</t>
  </si>
  <si>
    <t>360  /  R1+TK%  /  Bb_Plan  /  A7  /  ZS2  /  UWS50</t>
  </si>
  <si>
    <t>360  /  R1+TK2_RW  /  Bb_Plan  /  A7  /  ZS2</t>
  </si>
  <si>
    <t>360  /  R1+TK2_RW  /  Bb_Plan  /  A7  /  ZS2  /  UWS50</t>
  </si>
  <si>
    <t>360  /  R2  /  Bb_Plan  /  A7  /  ZS2</t>
  </si>
  <si>
    <t>360  /  R2  /  Bb_Plan  /  A7  /  ZS2  /  UWS50</t>
  </si>
  <si>
    <t>360  /  R2+TK%  /  Bb_Plan  /  A7  /  ZS2</t>
  </si>
  <si>
    <t>360  /  R2+TK%  /  Bb_Plan  /  A7  /  ZS2  /  UWS50</t>
  </si>
  <si>
    <t>360  /  R2+TK2_RW  /  Bb_Plan  /  A7  /  ZS2</t>
  </si>
  <si>
    <t>360  /  R2+TK2_RW  /  Bb_Plan  /  A7  /  ZS2  /  UWS50</t>
  </si>
  <si>
    <t>720  /  R1  /  Bb_Plan  /  A7  /  ZS2</t>
  </si>
  <si>
    <t>720  /  R1  /  Bb_Plan  /  A7  /  ZS2  /  UWS50</t>
  </si>
  <si>
    <t>720  /  R1+TK%  /  Bb_Plan  /  A7  /  ZS2</t>
  </si>
  <si>
    <t>720  /  R1+TK%  /  Bb_Plan  /  A7  /  ZS2  /  UWS50</t>
  </si>
  <si>
    <t>720  /  R1+TK2_RW  /  Bb_Plan  /  A7  /  ZS2</t>
  </si>
  <si>
    <t>720  /  R1+TK2_RW  /  Bb_Plan  /  A7  /  ZS2  /  UWS50</t>
  </si>
  <si>
    <t>720  /  R2  /  Bb_Plan  /  A7  /  ZS2</t>
  </si>
  <si>
    <t>720  /  R2  /  Bb_Plan  /  A7  /  ZS2  /  UWS50</t>
  </si>
  <si>
    <t>720  /  R2+TK%  /  Bb_Plan  /  A7  /  ZS2</t>
  </si>
  <si>
    <t>720  /  R2+TK%  /  Bb_Plan  /  A7  /  ZS2  /  UWS50</t>
  </si>
  <si>
    <t>720  /  R2+TK2_RW  /  Bb_Plan  /  A7  /  ZS2</t>
  </si>
  <si>
    <t>720  /  R2+TK2_RW  /  Bb_Plan  /  A7  /  ZS2  /  UWS50</t>
  </si>
  <si>
    <t>Plan ab AHV-Alter  /  A7  /  ZS2</t>
  </si>
  <si>
    <t>SE 50+ Plan ab AHV-Alter  /  A7  /  ZS2</t>
  </si>
  <si>
    <t>360  /  R1  /  Bb_Plan  /  A8</t>
  </si>
  <si>
    <t>360  /  R1  /  Bb_Plan  /  A8  /  UWS50</t>
  </si>
  <si>
    <t>360  /  R1+TK%  /  Bb_Plan  /  A8</t>
  </si>
  <si>
    <t>360  /  R1+TK%  /  Bb_Plan  /  A8  /  UWS50</t>
  </si>
  <si>
    <t>360  /  R1+TK2_RW  /  Bb_Plan  /  A8</t>
  </si>
  <si>
    <t>360  /  R1+TK2_RW  /  Bb_Plan  /  A8  /  UWS50</t>
  </si>
  <si>
    <t>360  /  R2  /  Bb_Plan  /  A8</t>
  </si>
  <si>
    <t>360  /  R2  /  Bb_Plan  /  A8  /  UWS50</t>
  </si>
  <si>
    <t>360  /  R2+TK%  /  Bb_Plan  /  A8</t>
  </si>
  <si>
    <t>360  /  R2+TK%  /  Bb_Plan  /  A8  /  UWS50</t>
  </si>
  <si>
    <t>360  /  R2+TK2_RW  /  Bb_Plan  /  A8</t>
  </si>
  <si>
    <t>360  /  R2+TK2_RW  /  Bb_Plan  /  A8  /  UWS50</t>
  </si>
  <si>
    <t>720  /  R1  /  Bb_Plan  /  A8</t>
  </si>
  <si>
    <t>720  /  R1  /  Bb_Plan  /  A8  /  UWS50</t>
  </si>
  <si>
    <t>720  /  R1+TK%  /  Bb_Plan  /  A8</t>
  </si>
  <si>
    <t>720  /  R1+TK%  /  Bb_Plan  /  A8  /  UWS50</t>
  </si>
  <si>
    <t>720  /  R1+TK2_RW  /  Bb_Plan  /  A8</t>
  </si>
  <si>
    <t>720  /  R1+TK2_RW  /  Bb_Plan  /  A8  /  UWS50</t>
  </si>
  <si>
    <t>720  /  R2  /  Bb_Plan  /  A8</t>
  </si>
  <si>
    <t>720  /  R2  /  Bb_Plan  /  A8  /  UWS50</t>
  </si>
  <si>
    <t>720  /  R2+TK%  /  Bb_Plan  /  A8</t>
  </si>
  <si>
    <t>720  /  R2+TK%  /  Bb_Plan  /  A8  /  UWS50</t>
  </si>
  <si>
    <t>720  /  R2+TK2_RW  /  Bb_Plan  /  A8</t>
  </si>
  <si>
    <t>720  /  R2+TK2_RW  /  Bb_Plan  /  A8  /  UWS50</t>
  </si>
  <si>
    <t xml:space="preserve">Plan ab AHV-Alter  /  A8  /  </t>
  </si>
  <si>
    <t xml:space="preserve">SE 50+ Plan ab AHV-Alter  /  A8  /  </t>
  </si>
  <si>
    <t>360  /  R1  /  Bb_Plan  /  A8  /  ZS1</t>
  </si>
  <si>
    <t>360  /  R1  /  Bb_Plan  /  A8  /  ZS1  /  UWS50</t>
  </si>
  <si>
    <t>360  /  R1+TK%  /  Bb_Plan  /  A8  /  ZS1</t>
  </si>
  <si>
    <t>360  /  R1+TK%  /  Bb_Plan  /  A8  /  ZS1  /  UWS50</t>
  </si>
  <si>
    <t>360  /  R1+TK2_RW  /  Bb_Plan  /  A8  /  ZS1</t>
  </si>
  <si>
    <t>360  /  R1+TK2_RW  /  Bb_Plan  /  A8  /  ZS1  /  UWS50</t>
  </si>
  <si>
    <t>360  /  R2  /  Bb_Plan  /  A8  /  ZS1</t>
  </si>
  <si>
    <t>360  /  R2  /  Bb_Plan  /  A8  /  ZS1  /  UWS50</t>
  </si>
  <si>
    <t>360  /  R2+TK%  /  Bb_Plan  /  A8  /  ZS1</t>
  </si>
  <si>
    <t>360  /  R2+TK%  /  Bb_Plan  /  A8  /  ZS1  /  UWS50</t>
  </si>
  <si>
    <t>360  /  R2+TK2_RW  /  Bb_Plan  /  A8  /  ZS1</t>
  </si>
  <si>
    <t>360  /  R2+TK2_RW  /  Bb_Plan  /  A8  /  ZS1  /  UWS50</t>
  </si>
  <si>
    <t>720  /  R1  /  Bb_Plan  /  A8  /  ZS1</t>
  </si>
  <si>
    <t>720  /  R1  /  Bb_Plan  /  A8  /  ZS1  /  UWS50</t>
  </si>
  <si>
    <t>720  /  R1+TK%  /  Bb_Plan  /  A8  /  ZS1</t>
  </si>
  <si>
    <t>720  /  R1+TK%  /  Bb_Plan  /  A8  /  ZS1  /  UWS50</t>
  </si>
  <si>
    <t>720  /  R1+TK2_RW  /  Bb_Plan  /  A8  /  ZS1</t>
  </si>
  <si>
    <t>720  /  R1+TK2_RW  /  Bb_Plan  /  A8  /  ZS1  /  UWS50</t>
  </si>
  <si>
    <t>720  /  R2  /  Bb_Plan  /  A8  /  ZS1</t>
  </si>
  <si>
    <t>720  /  R2  /  Bb_Plan  /  A8  /  ZS1  /  UWS50</t>
  </si>
  <si>
    <t>720  /  R2+TK%  /  Bb_Plan  /  A8  /  ZS1</t>
  </si>
  <si>
    <t>720  /  R2+TK%  /  Bb_Plan  /  A8  /  ZS1  /  UWS50</t>
  </si>
  <si>
    <t>720  /  R2+TK2_RW  /  Bb_Plan  /  A8  /  ZS1</t>
  </si>
  <si>
    <t>720  /  R2+TK2_RW  /  Bb_Plan  /  A8  /  ZS1  /  UWS50</t>
  </si>
  <si>
    <t>Plan ab AHV-Alter  /  A8  /  ZS1</t>
  </si>
  <si>
    <t>SE 50+ Plan ab AHV-Alter  /  A8  /  ZS1</t>
  </si>
  <si>
    <t>360  /  R1  /  Bb_Plan  /  A8  /  ZS2</t>
  </si>
  <si>
    <t>360  /  R1  /  Bb_Plan  /  A8  /  ZS2  /  UWS50</t>
  </si>
  <si>
    <t>360  /  R1+TK%  /  Bb_Plan  /  A8  /  ZS2</t>
  </si>
  <si>
    <t>360  /  R1+TK%  /  Bb_Plan  /  A8  /  ZS2  /  UWS50</t>
  </si>
  <si>
    <t>360  /  R1+TK2_RW  /  Bb_Plan  /  A8  /  ZS2</t>
  </si>
  <si>
    <t>360  /  R1+TK2_RW  /  Bb_Plan  /  A8  /  ZS2  /  UWS50</t>
  </si>
  <si>
    <t>360  /  R2  /  Bb_Plan  /  A8  /  ZS2</t>
  </si>
  <si>
    <t>360  /  R2  /  Bb_Plan  /  A8  /  ZS2  /  UWS50</t>
  </si>
  <si>
    <t>360  /  R2+TK%  /  Bb_Plan  /  A8  /  ZS2</t>
  </si>
  <si>
    <t>360  /  R2+TK%  /  Bb_Plan  /  A8  /  ZS2  /  UWS50</t>
  </si>
  <si>
    <t>360  /  R2+TK2_RW  /  Bb_Plan  /  A8  /  ZS2</t>
  </si>
  <si>
    <t>360  /  R2+TK2_RW  /  Bb_Plan  /  A8  /  ZS2  /  UWS50</t>
  </si>
  <si>
    <t>720  /  R1  /  Bb_Plan  /  A8  /  ZS2</t>
  </si>
  <si>
    <t>720  /  R1  /  Bb_Plan  /  A8  /  ZS2  /  UWS50</t>
  </si>
  <si>
    <t>720  /  R1+TK%  /  Bb_Plan  /  A8  /  ZS2</t>
  </si>
  <si>
    <t>720  /  R1+TK%  /  Bb_Plan  /  A8  /  ZS2  /  UWS50</t>
  </si>
  <si>
    <t>720  /  R1+TK2_RW  /  Bb_Plan  /  A8  /  ZS2</t>
  </si>
  <si>
    <t>720  /  R1+TK2_RW  /  Bb_Plan  /  A8  /  ZS2  /  UWS50</t>
  </si>
  <si>
    <t>720  /  R2  /  Bb_Plan  /  A8  /  ZS2</t>
  </si>
  <si>
    <t>720  /  R2  /  Bb_Plan  /  A8  /  ZS2  /  UWS50</t>
  </si>
  <si>
    <t>720  /  R2+TK%  /  Bb_Plan  /  A8  /  ZS2</t>
  </si>
  <si>
    <t>720  /  R2+TK%  /  Bb_Plan  /  A8  /  ZS2  /  UWS50</t>
  </si>
  <si>
    <t>720  /  R2+TK2_RW  /  Bb_Plan  /  A8  /  ZS2</t>
  </si>
  <si>
    <t>720  /  R2+TK2_RW  /  Bb_Plan  /  A8  /  ZS2  /  UWS50</t>
  </si>
  <si>
    <t>Plan ab AHV-Alter  /  A8  /  ZS2</t>
  </si>
  <si>
    <t>SE 50+ Plan ab AHV-Alter  /  A8  /  ZS2</t>
  </si>
  <si>
    <t>360  /  R1  /  Bb_Plan  /  A9</t>
  </si>
  <si>
    <t>360  /  R1  /  Bb_Plan  /  A9  /  UWS50</t>
  </si>
  <si>
    <t>360  /  R1+TK%  /  Bb_Plan  /  A9</t>
  </si>
  <si>
    <t>360  /  R1+TK%  /  Bb_Plan  /  A9  /  UWS50</t>
  </si>
  <si>
    <t>360  /  R1+TK2_RW  /  Bb_Plan  /  A9</t>
  </si>
  <si>
    <t>360  /  R1+TK2_RW  /  Bb_Plan  /  A9  /  UWS50</t>
  </si>
  <si>
    <t>360  /  R2  /  Bb_Plan  /  A9</t>
  </si>
  <si>
    <t>360  /  R2  /  Bb_Plan  /  A9  /  UWS50</t>
  </si>
  <si>
    <t>360  /  R2+TK%  /  Bb_Plan  /  A9</t>
  </si>
  <si>
    <t>360  /  R2+TK%  /  Bb_Plan  /  A9  /  UWS50</t>
  </si>
  <si>
    <t>360  /  R2+TK2_RW  /  Bb_Plan  /  A9</t>
  </si>
  <si>
    <t>360  /  R2+TK2_RW  /  Bb_Plan  /  A9  /  UWS50</t>
  </si>
  <si>
    <t>720  /  R1  /  Bb_Plan  /  A9</t>
  </si>
  <si>
    <t>720  /  R1  /  Bb_Plan  /  A9  /  UWS50</t>
  </si>
  <si>
    <t>720  /  R1+TK%  /  Bb_Plan  /  A9</t>
  </si>
  <si>
    <t>720  /  R1+TK%  /  Bb_Plan  /  A9  /  UWS50</t>
  </si>
  <si>
    <t>720  /  R1+TK2_RW  /  Bb_Plan  /  A9</t>
  </si>
  <si>
    <t>720  /  R1+TK2_RW  /  Bb_Plan  /  A9  /  UWS50</t>
  </si>
  <si>
    <t>720  /  R2  /  Bb_Plan  /  A9</t>
  </si>
  <si>
    <t>720  /  R2  /  Bb_Plan  /  A9  /  UWS50</t>
  </si>
  <si>
    <t>720  /  R2+TK%  /  Bb_Plan  /  A9</t>
  </si>
  <si>
    <t>720  /  R2+TK%  /  Bb_Plan  /  A9  /  UWS50</t>
  </si>
  <si>
    <t>720  /  R2+TK2_RW  /  Bb_Plan  /  A9</t>
  </si>
  <si>
    <t>720  /  R2+TK2_RW  /  Bb_Plan  /  A9  /  UWS50</t>
  </si>
  <si>
    <t xml:space="preserve">Plan ab AHV-Alter  /  A9  /  </t>
  </si>
  <si>
    <t xml:space="preserve">SE 50+ Plan ab AHV-Alter  /  A9  /  </t>
  </si>
  <si>
    <t>360  /  R1  /  Bb_Plan  /  A9  /  ZS1</t>
  </si>
  <si>
    <t>360  /  R1  /  Bb_Plan  /  A9  /  ZS1  /  UWS50</t>
  </si>
  <si>
    <t>360  /  R1+TK%  /  Bb_Plan  /  A9  /  ZS1</t>
  </si>
  <si>
    <t>360  /  R1+TK%  /  Bb_Plan  /  A9  /  ZS1  /  UWS50</t>
  </si>
  <si>
    <t>360  /  R1+TK2_RW  /  Bb_Plan  /  A9  /  ZS1</t>
  </si>
  <si>
    <t>360  /  R1+TK2_RW  /  Bb_Plan  /  A9  /  ZS1  /  UWS50</t>
  </si>
  <si>
    <t>360  /  R2  /  Bb_Plan  /  A9  /  ZS1</t>
  </si>
  <si>
    <t>360  /  R2  /  Bb_Plan  /  A9  /  ZS1  /  UWS50</t>
  </si>
  <si>
    <t>360  /  R2+TK%  /  Bb_Plan  /  A9  /  ZS1</t>
  </si>
  <si>
    <t>360  /  R2+TK%  /  Bb_Plan  /  A9  /  ZS1  /  UWS50</t>
  </si>
  <si>
    <t>360  /  R2+TK2_RW  /  Bb_Plan  /  A9  /  ZS1</t>
  </si>
  <si>
    <t>360  /  R2+TK2_RW  /  Bb_Plan  /  A9  /  ZS1  /  UWS50</t>
  </si>
  <si>
    <t>720  /  R1  /  Bb_Plan  /  A9  /  ZS1</t>
  </si>
  <si>
    <t>720  /  R1  /  Bb_Plan  /  A9  /  ZS1  /  UWS50</t>
  </si>
  <si>
    <t>720  /  R1+TK%  /  Bb_Plan  /  A9  /  ZS1</t>
  </si>
  <si>
    <t>720  /  R1+TK%  /  Bb_Plan  /  A9  /  ZS1  /  UWS50</t>
  </si>
  <si>
    <t>720  /  R1+TK2_RW  /  Bb_Plan  /  A9  /  ZS1</t>
  </si>
  <si>
    <t>720  /  R1+TK2_RW  /  Bb_Plan  /  A9  /  ZS1  /  UWS50</t>
  </si>
  <si>
    <t>720  /  R2  /  Bb_Plan  /  A9  /  ZS1</t>
  </si>
  <si>
    <t>720  /  R2  /  Bb_Plan  /  A9  /  ZS1  /  UWS50</t>
  </si>
  <si>
    <t>720  /  R2+TK%  /  Bb_Plan  /  A9  /  ZS1</t>
  </si>
  <si>
    <t>720  /  R2+TK%  /  Bb_Plan  /  A9  /  ZS1  /  UWS50</t>
  </si>
  <si>
    <t>720  /  R2+TK2_RW  /  Bb_Plan  /  A9  /  ZS1</t>
  </si>
  <si>
    <t>720  /  R2+TK2_RW  /  Bb_Plan  /  A9  /  ZS1  /  UWS50</t>
  </si>
  <si>
    <t>Plan ab AHV-Alter  /  A9  /  ZS1</t>
  </si>
  <si>
    <t>SE 50+ Plan ab AHV-Alter  /  A9  /  ZS1</t>
  </si>
  <si>
    <t>360  /  R1  /  Bb_Plan  /  A9  /  ZS2</t>
  </si>
  <si>
    <t>360  /  R1  /  Bb_Plan  /  A9  /  ZS2  /  UWS50</t>
  </si>
  <si>
    <t>360  /  R1+TK%  /  Bb_Plan  /  A9  /  ZS2</t>
  </si>
  <si>
    <t>360  /  R1+TK%  /  Bb_Plan  /  A9  /  ZS2  /  UWS50</t>
  </si>
  <si>
    <t>360  /  R1+TK2_RW  /  Bb_Plan  /  A9  /  ZS2</t>
  </si>
  <si>
    <t>360  /  R1+TK2_RW  /  Bb_Plan  /  A9  /  ZS2  /  UWS50</t>
  </si>
  <si>
    <t>360  /  R2  /  Bb_Plan  /  A9  /  ZS2</t>
  </si>
  <si>
    <t>360  /  R2  /  Bb_Plan  /  A9  /  ZS2  /  UWS50</t>
  </si>
  <si>
    <t>360  /  R2+TK%  /  Bb_Plan  /  A9  /  ZS2</t>
  </si>
  <si>
    <t>360  /  R2+TK%  /  Bb_Plan  /  A9  /  ZS2  /  UWS50</t>
  </si>
  <si>
    <t>360  /  R2+TK2_RW  /  Bb_Plan  /  A9  /  ZS2</t>
  </si>
  <si>
    <t>360  /  R2+TK2_RW  /  Bb_Plan  /  A9  /  ZS2  /  UWS50</t>
  </si>
  <si>
    <t>720  /  R1  /  Bb_Plan  /  A9  /  ZS2</t>
  </si>
  <si>
    <t>720  /  R1  /  Bb_Plan  /  A9  /  ZS2  /  UWS50</t>
  </si>
  <si>
    <t>720  /  R1+TK%  /  Bb_Plan  /  A9  /  ZS2</t>
  </si>
  <si>
    <t>720  /  R1+TK%  /  Bb_Plan  /  A9  /  ZS2  /  UWS50</t>
  </si>
  <si>
    <t>720  /  R1+TK2_RW  /  Bb_Plan  /  A9  /  ZS2</t>
  </si>
  <si>
    <t>720  /  R1+TK2_RW  /  Bb_Plan  /  A9  /  ZS2  /  UWS50</t>
  </si>
  <si>
    <t>720  /  R2  /  Bb_Plan  /  A9  /  ZS2</t>
  </si>
  <si>
    <t>720  /  R2  /  Bb_Plan  /  A9  /  ZS2  /  UWS50</t>
  </si>
  <si>
    <t>720  /  R2+TK%  /  Bb_Plan  /  A9  /  ZS2</t>
  </si>
  <si>
    <t>720  /  R2+TK%  /  Bb_Plan  /  A9  /  ZS2  /  UWS50</t>
  </si>
  <si>
    <t>720  /  R2+TK2_RW  /  Bb_Plan  /  A9  /  ZS2</t>
  </si>
  <si>
    <t>720  /  R2+TK2_RW  /  Bb_Plan  /  A9  /  ZS2  /  UWS50</t>
  </si>
  <si>
    <t>Plan ab AHV-Alter  /  A9  /  ZS2</t>
  </si>
  <si>
    <t>SE 50+ Plan ab AHV-Alter  /  A9  /  ZS2</t>
  </si>
  <si>
    <r>
      <t>A</t>
    </r>
    <r>
      <rPr>
        <vertAlign val="superscript"/>
        <sz val="11"/>
        <rFont val="Arial"/>
        <family val="2"/>
      </rPr>
      <t>6</t>
    </r>
  </si>
  <si>
    <r>
      <t>A</t>
    </r>
    <r>
      <rPr>
        <vertAlign val="superscript"/>
        <sz val="11"/>
        <rFont val="Arial"/>
        <family val="2"/>
      </rPr>
      <t>7</t>
    </r>
  </si>
  <si>
    <r>
      <t>A</t>
    </r>
    <r>
      <rPr>
        <vertAlign val="superscript"/>
        <sz val="11"/>
        <rFont val="Arial"/>
        <family val="2"/>
      </rPr>
      <t>8</t>
    </r>
  </si>
  <si>
    <r>
      <t>A</t>
    </r>
    <r>
      <rPr>
        <vertAlign val="superscript"/>
        <sz val="11"/>
        <rFont val="Arial"/>
        <family val="2"/>
      </rPr>
      <t>9</t>
    </r>
  </si>
  <si>
    <t>Es besteht gemäss Wahl keine Eintrittsschwelle.</t>
  </si>
  <si>
    <t>SIFO</t>
  </si>
  <si>
    <t>AHVmax</t>
  </si>
  <si>
    <t>a) den Sparbeiträgen gemäss dem gewählten Modul A6;</t>
  </si>
  <si>
    <t>a) den Sparbeiträgen gemäss dem gewählten Modul A7;</t>
  </si>
  <si>
    <t>a) den Sparbeiträgen gemäss dem gewählten Modul A8;</t>
  </si>
  <si>
    <t>a) den Sparbeiträgen gemäss dem gewählten Modul A9;</t>
  </si>
  <si>
    <t>Deutsch</t>
  </si>
  <si>
    <t>Italiano</t>
  </si>
  <si>
    <t>Français</t>
  </si>
  <si>
    <t>Sprache
Langue 
Lingua</t>
  </si>
  <si>
    <t>Übersetzungen Input</t>
  </si>
  <si>
    <t>DE</t>
  </si>
  <si>
    <t>FR</t>
  </si>
  <si>
    <t>IT</t>
  </si>
  <si>
    <t xml:space="preserve">Offerte, gültig per   </t>
  </si>
  <si>
    <t xml:space="preserve">Offre valable pour le   </t>
  </si>
  <si>
    <t>Offerta valida il</t>
  </si>
  <si>
    <t>Name Arbeitgeber/In</t>
  </si>
  <si>
    <t>Nom de l'employeur</t>
  </si>
  <si>
    <t>Datore di lavoro</t>
  </si>
  <si>
    <t>Für Sie zuständig</t>
  </si>
  <si>
    <t>Responsable de vous</t>
  </si>
  <si>
    <t>Responsabile per voi</t>
  </si>
  <si>
    <t>Tel. direkt</t>
  </si>
  <si>
    <t>Tél. direct</t>
  </si>
  <si>
    <t>Tel. diretto</t>
  </si>
  <si>
    <t>Versicherungsplan wählen:</t>
  </si>
  <si>
    <t>Sélectionnez le plan de prévoyance:</t>
  </si>
  <si>
    <t>Scegliere il piano previdenza</t>
  </si>
  <si>
    <t>Lohndefinition</t>
  </si>
  <si>
    <t>Définit. du salaire assuré</t>
  </si>
  <si>
    <t>Defin. del salario assicurato</t>
  </si>
  <si>
    <t>Montant de coordination</t>
  </si>
  <si>
    <t>Deduzione di coord.</t>
  </si>
  <si>
    <t>Seuil d'entrée</t>
  </si>
  <si>
    <t>Soglia d'ingresso</t>
  </si>
  <si>
    <t>Tetto</t>
  </si>
  <si>
    <t>L1 vers. Lohn Sparen</t>
  </si>
  <si>
    <t>L1 Salaire assuré épargne</t>
  </si>
  <si>
    <t>L1 Salario assicurato Risparmio</t>
  </si>
  <si>
    <t>L2 vers. Lohn Risiko</t>
  </si>
  <si>
    <t>L1 Salaire assuré risque</t>
  </si>
  <si>
    <t>L1 Salario assicurato Rischio</t>
  </si>
  <si>
    <t>A/ZS Altersvorsorge Sparen</t>
  </si>
  <si>
    <t>A/ZS Bonifications de vieillesse</t>
  </si>
  <si>
    <t>A/ZS Previdenza vecchiaia Risparmio</t>
  </si>
  <si>
    <t>Risikovorsorge</t>
  </si>
  <si>
    <t>Prestations de risque</t>
  </si>
  <si>
    <t>Benefici del rischio</t>
  </si>
  <si>
    <t>R Invalidenrente</t>
  </si>
  <si>
    <t>R Rente d'invalidité</t>
  </si>
  <si>
    <t>R Rendita d'invalidità</t>
  </si>
  <si>
    <t>Wartefrist Invalidenrente</t>
  </si>
  <si>
    <t>Délai d'att. pour la rente d'inv.</t>
  </si>
  <si>
    <t>Periodo di attesa invalidità</t>
  </si>
  <si>
    <t>Anteil Beiträge Arbeitnehmer</t>
  </si>
  <si>
    <t>Part cotisation assuré/e</t>
  </si>
  <si>
    <t>Quota dei contributi dei dipendenti</t>
  </si>
  <si>
    <t>Prévoy. pour la vieillesse</t>
  </si>
  <si>
    <t>Previdenza vecchiaia</t>
  </si>
  <si>
    <t>Altersgutschriften</t>
  </si>
  <si>
    <t>Bonifications de vieillesse</t>
  </si>
  <si>
    <t>Risparmio</t>
  </si>
  <si>
    <t>ZS Zusatzsparen</t>
  </si>
  <si>
    <t>Epargne supplémentaire</t>
  </si>
  <si>
    <t>ZS Risparmio aggiuntivo</t>
  </si>
  <si>
    <t>ab</t>
  </si>
  <si>
    <t>dès</t>
  </si>
  <si>
    <t>da</t>
  </si>
  <si>
    <t>Capital de décès</t>
  </si>
  <si>
    <t>Capitale in caso di decesso</t>
  </si>
  <si>
    <t>Info Durchschnittsalter:</t>
  </si>
  <si>
    <t>Info Âge moyen:</t>
  </si>
  <si>
    <t>Info Età media:</t>
  </si>
  <si>
    <t xml:space="preserve">Name,  Vorname </t>
  </si>
  <si>
    <t>Nom, Prénom</t>
  </si>
  <si>
    <t>Cognome, Nome</t>
  </si>
  <si>
    <t>Geburts-
datum</t>
  </si>
  <si>
    <t>Date de naissance</t>
  </si>
  <si>
    <t>Data di nascita</t>
  </si>
  <si>
    <t>Sex
(f/m)</t>
  </si>
  <si>
    <t>Sexe(f/m)</t>
  </si>
  <si>
    <t>Sesso (f/m)</t>
  </si>
  <si>
    <t>Angabe BS-Grad</t>
  </si>
  <si>
    <t>Taux d'occupation</t>
  </si>
  <si>
    <t>Grado di occupazione</t>
  </si>
  <si>
    <t>keine Eingabe</t>
  </si>
  <si>
    <t>aucune entrée</t>
  </si>
  <si>
    <t>nessun ingresso</t>
  </si>
  <si>
    <t xml:space="preserve">AHV-
Lohn   </t>
  </si>
  <si>
    <t>Salaire AVS</t>
  </si>
  <si>
    <t>Salario AVS</t>
  </si>
  <si>
    <t>Vorh. 
FZL</t>
  </si>
  <si>
    <t>Prestation de libre passage existante</t>
  </si>
  <si>
    <t>Prestazione di libero passaggio esistente</t>
  </si>
  <si>
    <t>FZL BVG</t>
  </si>
  <si>
    <t>PLP selon LPP min.</t>
  </si>
  <si>
    <t>PLP secondo LPP min.</t>
  </si>
  <si>
    <t xml:space="preserve">BVG-
Alter </t>
  </si>
  <si>
    <t>Âge LPP</t>
  </si>
  <si>
    <t>Età LPP</t>
  </si>
  <si>
    <t xml:space="preserve">Vers. 
Lohn </t>
  </si>
  <si>
    <t>Salaire assuré</t>
  </si>
  <si>
    <t>Salario assicurato</t>
  </si>
  <si>
    <t>Alters- rente</t>
  </si>
  <si>
    <t>Rente de vieill.</t>
  </si>
  <si>
    <t>Rendita di vecchiaia</t>
  </si>
  <si>
    <t>Alters- kapital</t>
  </si>
  <si>
    <t>Capital de vieill.</t>
  </si>
  <si>
    <t>Capitale di vecchiaia</t>
  </si>
  <si>
    <t>Risikoleistungen nach Plan</t>
  </si>
  <si>
    <t>Prestations de risque selon plan</t>
  </si>
  <si>
    <t>Benefici di rischio secondo il piano</t>
  </si>
  <si>
    <t>TOTAL</t>
  </si>
  <si>
    <t>TOTALE</t>
  </si>
  <si>
    <t>Epargne</t>
  </si>
  <si>
    <t>Risque</t>
  </si>
  <si>
    <t>Rischio</t>
  </si>
  <si>
    <t>L1 BVG</t>
  </si>
  <si>
    <t>L1 LPP</t>
  </si>
  <si>
    <t>L2 BVG nach BS-Grad</t>
  </si>
  <si>
    <t>L2 (LPP; selon degré d'occ.)</t>
  </si>
  <si>
    <t>L2 (LPP; secondo gr. di occ.)</t>
  </si>
  <si>
    <t>L3 80% AHV-Lohn</t>
  </si>
  <si>
    <t>L3 (80% salaire AVS)</t>
  </si>
  <si>
    <t>L3 (80% del salario AVS)</t>
  </si>
  <si>
    <t>L4 AHV-Lohn</t>
  </si>
  <si>
    <t>L4 (salaire AVS)</t>
  </si>
  <si>
    <t>L4 (salario AVS)</t>
  </si>
  <si>
    <t>L5 1/2 Koordination gem BVG</t>
  </si>
  <si>
    <t>L5 (1/2 déduction de coord.)</t>
  </si>
  <si>
    <t>L5 (1/2 deduzione di coord.)</t>
  </si>
  <si>
    <t>mit BVG-Eintrittsschwelle</t>
  </si>
  <si>
    <t>selon LPP</t>
  </si>
  <si>
    <t>secondo LPP</t>
  </si>
  <si>
    <t>ohne Eintrittsschwelle</t>
  </si>
  <si>
    <t>sans seuil d'entrée</t>
  </si>
  <si>
    <t>nessuna soglia d'ingresso</t>
  </si>
  <si>
    <t>L2 - mit fixer BVG-Eintrittsschwelle</t>
  </si>
  <si>
    <t>L2 - avec seuil d'entrée fix</t>
  </si>
  <si>
    <t>L2 - con soglia d'ingresso fix</t>
  </si>
  <si>
    <t>L2 - BVG nach BS-Grad</t>
  </si>
  <si>
    <t>L5 - 1/2 Koordinationsabzug BVG</t>
  </si>
  <si>
    <t>L5 - 1/2 montant de coordination</t>
  </si>
  <si>
    <t>L5 - 1/2 deduzione di coord.</t>
  </si>
  <si>
    <t>Plafond gemäss BVG</t>
  </si>
  <si>
    <t>Plafond selon LPP</t>
  </si>
  <si>
    <t>Plafond gemäss UVG</t>
  </si>
  <si>
    <t>Plafond selon LAA</t>
  </si>
  <si>
    <t>secondo LAINF (CHF 148'200)</t>
  </si>
  <si>
    <t xml:space="preserve">kein Plafond </t>
  </si>
  <si>
    <t>sans plafond</t>
  </si>
  <si>
    <t>senza tetto</t>
  </si>
  <si>
    <t>Plafond gemäss SIFO</t>
  </si>
  <si>
    <t>Plafond = 300% AHVmax</t>
  </si>
  <si>
    <t>Plafond = 300% rente AVS max</t>
  </si>
  <si>
    <t>Tetto = 300% rendita AVS mass.</t>
  </si>
  <si>
    <t>Alter 25</t>
  </si>
  <si>
    <t>Âge 25</t>
  </si>
  <si>
    <t>Inizio 25 anni</t>
  </si>
  <si>
    <t>Alter 20</t>
  </si>
  <si>
    <t>Âge 20</t>
  </si>
  <si>
    <t>Inizio 20 anni</t>
  </si>
  <si>
    <t>Alter 18</t>
  </si>
  <si>
    <t>Âge 18</t>
  </si>
  <si>
    <t>Inizio 18 anni</t>
  </si>
  <si>
    <t>sans épargne supplement.</t>
  </si>
  <si>
    <t>senza risparmio aggiuntivo</t>
  </si>
  <si>
    <t>720 jours</t>
  </si>
  <si>
    <t>720 giorni</t>
  </si>
  <si>
    <t>360 jours</t>
  </si>
  <si>
    <t>360 giorni</t>
  </si>
  <si>
    <t>sans capital supplément.</t>
  </si>
  <si>
    <t>senza capitale supplem.</t>
  </si>
  <si>
    <t>50% vers. Lohn</t>
  </si>
  <si>
    <t>50% du salaire ass.</t>
  </si>
  <si>
    <t>50% del salario ass.</t>
  </si>
  <si>
    <t>100% vers. Lohn</t>
  </si>
  <si>
    <t>100% du salaire ass.</t>
  </si>
  <si>
    <t>100% del salario ass.</t>
  </si>
  <si>
    <t>150% vers. Lohn</t>
  </si>
  <si>
    <t>150% du salaire ass.</t>
  </si>
  <si>
    <t>150% del salario ass.</t>
  </si>
  <si>
    <t>200% vers. Lohn</t>
  </si>
  <si>
    <t>200% du salaire ass.</t>
  </si>
  <si>
    <t>200% del salario ass.</t>
  </si>
  <si>
    <t>AGH (Rückgewähr)</t>
  </si>
  <si>
    <t>avoir de vieillesse disp.</t>
  </si>
  <si>
    <t>avere di risparmio</t>
  </si>
  <si>
    <t>zusätzlich zur Ehegattenrente/Lebenspartnerrente</t>
  </si>
  <si>
    <t>en plus de la rente de conjoint</t>
  </si>
  <si>
    <t>in aggiunta alla rendita per coniuge/convivente</t>
  </si>
  <si>
    <t>Sparguthaben ausweisen?</t>
  </si>
  <si>
    <t>Indiquer le capital-épargne?</t>
  </si>
  <si>
    <t>Indicare l'avere di risparmio?</t>
  </si>
  <si>
    <t>Aufgrund des Urteils A-4467/2011 des Bundesverwaltungsgerichts darf das Sparguthaben gegenüber Dritten, namentlich gegenüber dem Arbeitgeber, ohne Ermächtigung des Versicherten nicht ausgewiesen werden.</t>
  </si>
  <si>
    <t>Selon l’arrêt A-4467/2011 du Tribunal administratif fédéral, le capital-épargne ne peut pas être communiqué à l’employeur ou autres tiers sans l’autorisation de la personne assurée.</t>
  </si>
  <si>
    <t>Secondo la sentenza A-4467/2011 del Tribunale amministrativo federale, l’avere di risparmio non può essere comunicato al datore di lavoro o altri terzi senza l’autorizzazione della persona assicurata.</t>
  </si>
  <si>
    <t>oui</t>
  </si>
  <si>
    <t>si</t>
  </si>
  <si>
    <t>AGH anz.</t>
  </si>
  <si>
    <t>non</t>
  </si>
  <si>
    <t>no</t>
  </si>
  <si>
    <t>Achtung: Invalidenrente &lt;30% nur bei Löhnen über 100'000 zulässig!</t>
  </si>
  <si>
    <t>Attention: Une rente d'invalidité de moins de 30% n'est autorisée que pour des salaires supérieurs à 100.000!</t>
  </si>
  <si>
    <t>Attenzione: rendita d' invalidità &lt; 30% solo per salari superiori a 100.000!</t>
  </si>
  <si>
    <t>Übersetzungen Output</t>
  </si>
  <si>
    <t>Offre au</t>
  </si>
  <si>
    <t>Offerta per</t>
  </si>
  <si>
    <t>Erstellt am</t>
  </si>
  <si>
    <t>Etabli le</t>
  </si>
  <si>
    <t>Stesa il</t>
  </si>
  <si>
    <t>Für Sie zuständig / Telefon</t>
  </si>
  <si>
    <t>Personne responsable / téléphone</t>
  </si>
  <si>
    <t>Responsabile / Telefono</t>
  </si>
  <si>
    <t>Version/Anzahl Seiten</t>
  </si>
  <si>
    <t>Version/Nombre de pages</t>
  </si>
  <si>
    <t>Versione/nombre di paginas</t>
  </si>
  <si>
    <t>Versicherungsplan (Module) - Detaillierter Planbeschrieb beiliegend</t>
  </si>
  <si>
    <t>Plan de prévoyance modulaire - Description du plan annexée</t>
  </si>
  <si>
    <t>Piano di previdenza modulare - Descrizione del piano previdenziale allegato</t>
  </si>
  <si>
    <t>Altersgutschriften gemäss Planbeschrieb</t>
  </si>
  <si>
    <t>Bonifications de vieillesse selon description du plan</t>
  </si>
  <si>
    <t>Contributi di risparmio secondo la descrizione del piano</t>
  </si>
  <si>
    <t>Zusatzsparplan</t>
  </si>
  <si>
    <t>Supplément d'épargne</t>
  </si>
  <si>
    <t>Risparmio aggiuntivo</t>
  </si>
  <si>
    <t>sans épargne supplémentaire</t>
  </si>
  <si>
    <t>Zusatzsparmodul 1</t>
  </si>
  <si>
    <t>Module d'épargne supplémentaire 1</t>
  </si>
  <si>
    <t>Risparmio aggiuntivo modulo 1</t>
  </si>
  <si>
    <t>Zusatzsparmodul 2</t>
  </si>
  <si>
    <t>Module d'épargne supplémentaire 2</t>
  </si>
  <si>
    <t>Risparmio aggiuntivo modulo 2</t>
  </si>
  <si>
    <t>% Invalidenrente vom versicherten Lohn</t>
  </si>
  <si>
    <t>% rente d'invalidité en % du salaire assuré</t>
  </si>
  <si>
    <t>% rta. d'invalidità del sal. assicurato</t>
  </si>
  <si>
    <t>Auszahlung Altersguthabens als zusätzliches Todesfallkapital</t>
  </si>
  <si>
    <t>Capital de décès correspond à l'avoir accumulé</t>
  </si>
  <si>
    <t>Capitale di decesso: versamento dell'avere di vecchiaia disponibile</t>
  </si>
  <si>
    <t>gemäss Vorsorgereglement</t>
  </si>
  <si>
    <t>selon règlement de prévoyance</t>
  </si>
  <si>
    <t>Capitale regolamentare</t>
  </si>
  <si>
    <t>Zusätzliches Todesfallkapital in % des versicherten Lohnes</t>
  </si>
  <si>
    <t>Capital de décès en % du salaire assuré</t>
  </si>
  <si>
    <t>Capitale di decesso en % del salario assicurato</t>
  </si>
  <si>
    <t>Beitragsbefreiung gemäss BVG</t>
  </si>
  <si>
    <t>Libération de cotisations selon LPP</t>
  </si>
  <si>
    <t>Esonero pagamento contributi sec. LPP</t>
  </si>
  <si>
    <t>Beitragsbefreiung gemäss Plan</t>
  </si>
  <si>
    <t>Libération de cotisations selon plan</t>
  </si>
  <si>
    <t>Esonero pagamento contributi sec. Piano</t>
  </si>
  <si>
    <t>Wartefrist (Tage)</t>
  </si>
  <si>
    <t>Délai d'attente (jours)</t>
  </si>
  <si>
    <t>Periodo di attesa (giorni)</t>
  </si>
  <si>
    <t>Krankentaggeldversicherung von 720 Tagen in Koordination zum BVG vorhanden</t>
  </si>
  <si>
    <t>Il existe une assurance indemnités journalières maladie avec durée des prestations coordonnée avec la LPP de 720 jours ou plus.</t>
  </si>
  <si>
    <t>Assicurazione d'indennità giornaliera di malattia con durata delle prestazioni coordinata LPP di 720 giorni o più.</t>
  </si>
  <si>
    <t>keine Krankentaggeldversicherung oder Krankenttageldversicherung mit kürzerer Leistungsdauer als 720 Tagen vorhanden</t>
  </si>
  <si>
    <t>Il n'existe aucune assurance indemnités journalières maladie resp. une assurance avec durée d'indemnités de moins de 720 jours.</t>
  </si>
  <si>
    <t>senza o assiucarazione d'indennità giornaliera di malattia con durata delle prestazioni di 360 giorni o meno.</t>
  </si>
  <si>
    <t>Allfällig bestehende Gesundheitsvorbehalte sind in dieser Offerte nicht berücksichtigt. Die Risikobeurteilung bzw. die definitive Aufnahmebestätigung erfolgt ausschliesslich durch PAT-BVG.</t>
  </si>
  <si>
    <t>Sans prise en considération d'éventuelles réserves de santé. L'évaluation des risques ainsi que la confirmation définitive de l'admission seront effectuées exclusivement par la PAT-LPP.</t>
  </si>
  <si>
    <t>In questa offerta le riserve per lo stato di salute non vengono prese in considerazione. L'evaluazione del rischio ossia l'affiliazione definitive avviene esclusivamente attraverso la PAT-LPP.</t>
  </si>
  <si>
    <t xml:space="preserve">Rundungsdifferenzen zu Produktion möglich (maximale Differenz: Beiträge CHF 2.40/Jahr; Renten CHF 12.00/Jahr)
</t>
  </si>
  <si>
    <t>Des différences d'arrondi sont possibles par rapport à la production (différence maximale:cotisations CHF 2.40/an; rentes CHF 12.00/an)</t>
  </si>
  <si>
    <t>Possibili differenze di arrotondamaneto (contributi CHF 2.40/anno, rendite CHF 12.00/anno al massimo)</t>
  </si>
  <si>
    <t xml:space="preserve">Name, Vorname </t>
  </si>
  <si>
    <t>Nom, prénom</t>
  </si>
  <si>
    <t xml:space="preserve">Nome,Cognome </t>
  </si>
  <si>
    <t>BVG-Alter</t>
  </si>
  <si>
    <t>Sexe</t>
  </si>
  <si>
    <t>Sesso</t>
  </si>
  <si>
    <t>Lohndaten</t>
  </si>
  <si>
    <t>Bases de salaire</t>
  </si>
  <si>
    <t>Dati di salario</t>
  </si>
  <si>
    <t>gemeldeter Lohn AHV</t>
  </si>
  <si>
    <t>Salaire annoncé AVS</t>
  </si>
  <si>
    <t>BVG-Lohn</t>
  </si>
  <si>
    <t>salaire LPP</t>
  </si>
  <si>
    <t>salario LPP</t>
  </si>
  <si>
    <t>Beiträge</t>
  </si>
  <si>
    <t>Cotisations</t>
  </si>
  <si>
    <t>Contributi</t>
  </si>
  <si>
    <t>Einmalige Anschlusskosten*</t>
  </si>
  <si>
    <t>Frais unique*</t>
  </si>
  <si>
    <t>Spese unico*</t>
  </si>
  <si>
    <t>Art</t>
  </si>
  <si>
    <t>Typ</t>
  </si>
  <si>
    <t>Tipo</t>
  </si>
  <si>
    <t>vorh. FZL</t>
  </si>
  <si>
    <t>PLP accumulé</t>
  </si>
  <si>
    <t>PLP accumul.</t>
  </si>
  <si>
    <t>Anteil BVG</t>
  </si>
  <si>
    <t>part LPP</t>
  </si>
  <si>
    <t>parte LPP</t>
  </si>
  <si>
    <t xml:space="preserve">voraussichtliche Altersleistungen </t>
  </si>
  <si>
    <t xml:space="preserve">Prestations de vieillesse présumées </t>
  </si>
  <si>
    <t xml:space="preserve">Prestazione vecchiaia presumo </t>
  </si>
  <si>
    <t>mit Zinsprojektion</t>
  </si>
  <si>
    <t>Taux de projection</t>
  </si>
  <si>
    <t>Interesse di proiez.</t>
  </si>
  <si>
    <t>Risikoleistungen (Jahresrenten</t>
  </si>
  <si>
    <t>Prestations risques (rentes annuelles</t>
  </si>
  <si>
    <t>Prestazione rischio (rendite annuale in</t>
  </si>
  <si>
    <t>in % vers. Lohn oder gemäss BVG)</t>
  </si>
  <si>
    <t>en % du salaire assuré ou selon LPP)</t>
  </si>
  <si>
    <t>% del salario assicurato o secondo LPP)</t>
  </si>
  <si>
    <t>Alterskinderrente im AHV-Alter</t>
  </si>
  <si>
    <t>Rente d'enfants à l'âge AVS</t>
  </si>
  <si>
    <t>Rendita per figlio all'età AVS</t>
  </si>
  <si>
    <t>Âge</t>
  </si>
  <si>
    <t>Età</t>
  </si>
  <si>
    <t>TC</t>
  </si>
  <si>
    <t>Capital</t>
  </si>
  <si>
    <t>Capitale</t>
  </si>
  <si>
    <t>Rendita</t>
  </si>
  <si>
    <t>Rentenart</t>
  </si>
  <si>
    <t>Genre de rente</t>
  </si>
  <si>
    <t>Tipo de rendita</t>
  </si>
  <si>
    <t>gem.BVG</t>
  </si>
  <si>
    <t>LPP</t>
  </si>
  <si>
    <t>%vL</t>
  </si>
  <si>
    <t xml:space="preserve"> Personen</t>
  </si>
  <si>
    <t xml:space="preserve"> personnes</t>
  </si>
  <si>
    <t xml:space="preserve"> persone</t>
  </si>
  <si>
    <t>Total Beiträge</t>
  </si>
  <si>
    <t>Total Cotisations</t>
  </si>
  <si>
    <t>Totale contributi</t>
  </si>
  <si>
    <t>Anteil Versicherte/r</t>
  </si>
  <si>
    <t>Part assuré/e</t>
  </si>
  <si>
    <t>Parte assicurato/a</t>
  </si>
  <si>
    <t xml:space="preserve">Risparmio   </t>
  </si>
  <si>
    <t>Kosten</t>
  </si>
  <si>
    <t>Frais</t>
  </si>
  <si>
    <t xml:space="preserve">Spese   </t>
  </si>
  <si>
    <t>AHV Alter</t>
  </si>
  <si>
    <t>Âge AVS</t>
  </si>
  <si>
    <t>Età AVS</t>
  </si>
  <si>
    <t>Invalidité</t>
  </si>
  <si>
    <t>di invalidità</t>
  </si>
  <si>
    <t>Partnerrente</t>
  </si>
  <si>
    <t>Partenaire</t>
  </si>
  <si>
    <t>per superstiti</t>
  </si>
  <si>
    <t>Kinderrenten</t>
  </si>
  <si>
    <t>Enfants</t>
  </si>
  <si>
    <t>per figli</t>
  </si>
  <si>
    <t>capitale decesso</t>
  </si>
  <si>
    <t>Alterskinderr.</t>
  </si>
  <si>
    <t>Enfants (AVS)</t>
  </si>
  <si>
    <t>p.figli all'età AVS</t>
  </si>
  <si>
    <t>Homme</t>
  </si>
  <si>
    <t>Uomo</t>
  </si>
  <si>
    <t>Femme</t>
  </si>
  <si>
    <t>Donna</t>
  </si>
  <si>
    <t>Übersetzungen Versichertenausweis</t>
  </si>
  <si>
    <t>Offre</t>
  </si>
  <si>
    <t>Offerta</t>
  </si>
  <si>
    <t>PERSONNE ASSURÉE</t>
  </si>
  <si>
    <t>PERSONA ASSICURATA</t>
  </si>
  <si>
    <t>Modules</t>
  </si>
  <si>
    <t>Moduli</t>
  </si>
  <si>
    <t>Prénom / nom</t>
  </si>
  <si>
    <t>Nome / cognome</t>
  </si>
  <si>
    <t>Età AVS ordinaria</t>
  </si>
  <si>
    <t>Offerta al</t>
  </si>
  <si>
    <t>Salaire annuel en CHF</t>
  </si>
  <si>
    <t>Salario annuo in CHF</t>
  </si>
  <si>
    <t>Salaire assuré en CHF</t>
  </si>
  <si>
    <t>Salario assicurato in CHF</t>
  </si>
  <si>
    <t>Versichertes Einkommen (Sparen) in CHF</t>
  </si>
  <si>
    <t>Salaire assuré (épargne) en CHF</t>
  </si>
  <si>
    <t>Salario assicurato (risparmio) in CHF</t>
  </si>
  <si>
    <t>Versichertes Einkommen (Risiko) in CHF</t>
  </si>
  <si>
    <t>Salaire assuré (risque) en CHF</t>
  </si>
  <si>
    <t>Salario assicurato (rischio) in CHF</t>
  </si>
  <si>
    <t>Personenkreis / Plannummer / LBI</t>
  </si>
  <si>
    <t>N° cercle / N° plan / LBI</t>
  </si>
  <si>
    <t>N° cerchia pers. / N° piano / LBI</t>
  </si>
  <si>
    <t>Prestations de retraite prévisionnelles</t>
  </si>
  <si>
    <t>Prestazioni di vecchiaia previste</t>
  </si>
  <si>
    <t>Capital, avec</t>
  </si>
  <si>
    <t>Capitale, con</t>
  </si>
  <si>
    <t>taux d’intérêt*</t>
  </si>
  <si>
    <t>tasso d’int.*</t>
  </si>
  <si>
    <t xml:space="preserve">               rente annuelle, avec</t>
  </si>
  <si>
    <t xml:space="preserve">               rendite annue, con</t>
  </si>
  <si>
    <t>im Alter 65</t>
  </si>
  <si>
    <t>im Alter 64</t>
  </si>
  <si>
    <t>à l’âge de 64 ans</t>
  </si>
  <si>
    <t>all’età di 64 anni</t>
  </si>
  <si>
    <t>im Alter 63</t>
  </si>
  <si>
    <t>à l’âge de 63 ans</t>
  </si>
  <si>
    <t>all’età di 63 anni</t>
  </si>
  <si>
    <t>à l’âge de 60 ans</t>
  </si>
  <si>
    <t>all’età di 60 anni</t>
  </si>
  <si>
    <t>à l’âge de 58 ans</t>
  </si>
  <si>
    <t>all’età di 58 anni</t>
  </si>
  <si>
    <t>Rente pour enfant de retraité (par enfant)</t>
  </si>
  <si>
    <t>Rendita per figli di pensionato a partire dal età AVS ordinaria</t>
  </si>
  <si>
    <t>Rente de conjoint en cas de décès</t>
  </si>
  <si>
    <t>Rendita di superstite in caso di decesso</t>
  </si>
  <si>
    <t>Rente pour enfant en cas d’invalidité ou décès (par enfant)</t>
  </si>
  <si>
    <t>Rendita per figli in caso di invalidità o decesso (per ogni figlio)</t>
  </si>
  <si>
    <t>Reglementarisches Todesfallkapital</t>
  </si>
  <si>
    <t>Capital de décès règlementaire</t>
  </si>
  <si>
    <t>Capitale regolamentare in caso di decesso</t>
  </si>
  <si>
    <t>Capital de décès supplémentaire</t>
  </si>
  <si>
    <t>Capitale aggiuntivo in caso di decesso</t>
  </si>
  <si>
    <t>Prämienbefreiung nach einer Wartefrist von 6 Monaten; Befreiung gemäss BVG.</t>
  </si>
  <si>
    <t>Libération du paiement des contributions après un délai d'attente de 6 mois; libération selon la LPP.</t>
  </si>
  <si>
    <t>Esonero dal pagamento dei contributi dopo un termine di attesa di 6 mesi; esonero secondo la LPP.</t>
  </si>
  <si>
    <t>Prämienbefreiung nach einer Wartefrist von 6 Monaten; Befreiung gemäss Plan.</t>
  </si>
  <si>
    <t>Libération du paiement des contributions après un délai d'attente de 6 mois; libération selon plan.</t>
  </si>
  <si>
    <t>Esonero dal pagamento dei contributi dopo un termine di attesa di 6 mesi; esonero secondo il piano.</t>
  </si>
  <si>
    <t>rente annuelle</t>
  </si>
  <si>
    <t>rendite annue</t>
  </si>
  <si>
    <t>Benefici di rischio</t>
  </si>
  <si>
    <t>COTISATIONS ANNUELLES EN CHF</t>
  </si>
  <si>
    <t>CONTRIBUTI ANNUI IN CHF</t>
  </si>
  <si>
    <t>Type de cotisations</t>
  </si>
  <si>
    <t>Genere di contributi</t>
  </si>
  <si>
    <t>Cotisation d'épargne</t>
  </si>
  <si>
    <t>Cotisation de risque</t>
  </si>
  <si>
    <t>Frais administratifs</t>
  </si>
  <si>
    <t>Spese amministrative</t>
  </si>
  <si>
    <t>Cotisations annuelles totales</t>
  </si>
  <si>
    <t>Contributi totale annui</t>
  </si>
  <si>
    <t>Monatlicher Lohnabzug Arbeitnehmer (12 Monatsabzüge)</t>
  </si>
  <si>
    <t>Retenue mensuelle sur le salaire (12 retenues)</t>
  </si>
  <si>
    <t>Deduzione salariale mensile dipendente (deduzioni per 12 mensilità)</t>
  </si>
  <si>
    <t>Totale</t>
  </si>
  <si>
    <t>employeur</t>
  </si>
  <si>
    <t>employée</t>
  </si>
  <si>
    <t>Dipendente</t>
  </si>
  <si>
    <t>INFORMATIONS DIVERSES EN CHF</t>
  </si>
  <si>
    <t>DIVERSE INDICAZIONI IN CHF</t>
  </si>
  <si>
    <t>Mögliche Einkaufssumme</t>
  </si>
  <si>
    <t>Montant de rachat possible</t>
  </si>
  <si>
    <t>Somma possibile per il riscato</t>
  </si>
  <si>
    <t>Sous réserve de changements du salaire assuré, du règlement et de la loi.</t>
  </si>
  <si>
    <t>Con riserva di eventuali modifiche al salario assicurato, al regolamento o alle leggi.</t>
  </si>
  <si>
    <t>Invalidenrente nach einer Wartefrist von 720 Tagen</t>
  </si>
  <si>
    <t>Rente d’invalidité après un délai d’attente de 720 jours</t>
  </si>
  <si>
    <t>Rendita d’invalidità dopo un termine di 720 giorni</t>
  </si>
  <si>
    <t>Leistungen und Beiträge</t>
  </si>
  <si>
    <t>Prestations et cotisations</t>
  </si>
  <si>
    <t>Ass.</t>
  </si>
  <si>
    <t>salar.</t>
  </si>
  <si>
    <t>Ind.&lt;50</t>
  </si>
  <si>
    <t>Ind&gt;50_v</t>
  </si>
  <si>
    <t>Dip.</t>
  </si>
  <si>
    <t>Eintritt in PAT-BVG vor 2017 / Offerte per</t>
  </si>
  <si>
    <t>Beschäftigungsgrad / versichertes Einkommen in CHF</t>
  </si>
  <si>
    <t>im Alter 62</t>
  </si>
  <si>
    <t>à l’âge de 62 ans</t>
  </si>
  <si>
    <t>all’età di 62 anni</t>
  </si>
  <si>
    <t xml:space="preserve">Projektionszins: </t>
  </si>
  <si>
    <t xml:space="preserve">%; ab </t>
  </si>
  <si>
    <t xml:space="preserve">%; da </t>
  </si>
  <si>
    <t xml:space="preserve">%; dès </t>
  </si>
  <si>
    <t xml:space="preserve">; ab </t>
  </si>
  <si>
    <t xml:space="preserve">; dès </t>
  </si>
  <si>
    <t xml:space="preserve">; da </t>
  </si>
  <si>
    <t xml:space="preserve">(offizieller Satz PAT-BVG: </t>
  </si>
  <si>
    <t>Invalidenrente nach einer Wartefrist von 360 Tagen</t>
  </si>
  <si>
    <t>Rente d’invalidité après un délai d’attente de 360 jours</t>
  </si>
  <si>
    <t>Rendita d’invalidità dopo un termine di 360 giorni</t>
  </si>
  <si>
    <t>pro Quartal</t>
  </si>
  <si>
    <t xml:space="preserve">Vorhandenes Sparguthaben per </t>
  </si>
  <si>
    <t xml:space="preserve">Avoir disponible au </t>
  </si>
  <si>
    <t xml:space="preserve">Avere di risparmio disponibile al </t>
  </si>
  <si>
    <t xml:space="preserve">davon gemäss BVG per </t>
  </si>
  <si>
    <t xml:space="preserve">dont part obligatoire selon la LPP au </t>
  </si>
  <si>
    <t xml:space="preserve">Parte LPP al </t>
  </si>
  <si>
    <t>(bitte mit Steuerbehörde abklären!)</t>
  </si>
  <si>
    <t xml:space="preserve">Etabli le </t>
  </si>
  <si>
    <t xml:space="preserve">Erstellt am </t>
  </si>
  <si>
    <t xml:space="preserve">Stesa il </t>
  </si>
  <si>
    <t xml:space="preserve">taux d’intérêt </t>
  </si>
  <si>
    <t xml:space="preserve">tasso d’int. </t>
  </si>
  <si>
    <t xml:space="preserve"> am </t>
  </si>
  <si>
    <t xml:space="preserve"> le </t>
  </si>
  <si>
    <t xml:space="preserve"> al </t>
  </si>
  <si>
    <t xml:space="preserve">Für Sie zuständig: </t>
  </si>
  <si>
    <t xml:space="preserve">Responsable pour vous: </t>
  </si>
  <si>
    <t xml:space="preserve">Erstellt durch </t>
  </si>
  <si>
    <t xml:space="preserve">Etabli par </t>
  </si>
  <si>
    <t>Übersetzungen Zusatzblatt zum Versicherungsausweis</t>
  </si>
  <si>
    <t>Plan Nr.</t>
  </si>
  <si>
    <t>No plan</t>
  </si>
  <si>
    <t>Cercle de pers.</t>
  </si>
  <si>
    <t>Âge de la retraite</t>
  </si>
  <si>
    <t>im Alter 61</t>
  </si>
  <si>
    <t>à l’âge de 61 ans</t>
  </si>
  <si>
    <t>all’età di 61 anni</t>
  </si>
  <si>
    <t>im Alter 59</t>
  </si>
  <si>
    <t>à l’âge de 59 ans</t>
  </si>
  <si>
    <t>all’età di 59 anni</t>
  </si>
  <si>
    <t>im Alter 70</t>
  </si>
  <si>
    <t>à l’âge de 70 ans</t>
  </si>
  <si>
    <t>all’età di 70 anni</t>
  </si>
  <si>
    <t>im Alter 69</t>
  </si>
  <si>
    <t>à l’âge de 69 ans</t>
  </si>
  <si>
    <t>all’età di 69 anni</t>
  </si>
  <si>
    <t>im Alter 68</t>
  </si>
  <si>
    <t>à l’âge de 68 ans</t>
  </si>
  <si>
    <t>all’età di 68 anni</t>
  </si>
  <si>
    <t>im Alter 67</t>
  </si>
  <si>
    <t>à l’âge de 67 ans</t>
  </si>
  <si>
    <t>all’età di 67 anni</t>
  </si>
  <si>
    <t>im Alter 66</t>
  </si>
  <si>
    <t>à l’âge de 66 ans</t>
  </si>
  <si>
    <t>all’età di 66 anni</t>
  </si>
  <si>
    <t>Capital de vieillesse</t>
  </si>
  <si>
    <t>ou rente annuelle</t>
  </si>
  <si>
    <t>= rente mensuelle</t>
  </si>
  <si>
    <t>Übersetzungen Input-Maske</t>
  </si>
  <si>
    <t>Beschäftigungsgrad</t>
  </si>
  <si>
    <t xml:space="preserve">   nur bei Arbeitnehmern!</t>
  </si>
  <si>
    <t xml:space="preserve">    höchstens 100%!</t>
  </si>
  <si>
    <t xml:space="preserve">    mindestens 50%!</t>
  </si>
  <si>
    <t xml:space="preserve">   (leer = 50%)</t>
  </si>
  <si>
    <t xml:space="preserve">ab </t>
  </si>
  <si>
    <t xml:space="preserve">    leer = </t>
  </si>
  <si>
    <t>; anderes:</t>
  </si>
  <si>
    <t>DONNÉES DE BASE</t>
  </si>
  <si>
    <t>Texte imprimé sur les documents</t>
  </si>
  <si>
    <t>Titre</t>
  </si>
  <si>
    <t>Nom</t>
  </si>
  <si>
    <t>Prénom</t>
  </si>
  <si>
    <t>N° AVS</t>
  </si>
  <si>
    <t>Statut/âge d’affiliation</t>
  </si>
  <si>
    <t>Année de l’affiliation à PAT-LPP</t>
  </si>
  <si>
    <t>Offre au (premier jour du mois)</t>
  </si>
  <si>
    <t>SALAIRE ASSURÉ</t>
  </si>
  <si>
    <t>Salaire soumis à l'AVS</t>
  </si>
  <si>
    <t>Module salaire</t>
  </si>
  <si>
    <t>Degré d'occupation</t>
  </si>
  <si>
    <t>MODULES</t>
  </si>
  <si>
    <t>Prévoyance vieillesse</t>
  </si>
  <si>
    <t>Assurance risque</t>
  </si>
  <si>
    <t>Délai d'attente</t>
  </si>
  <si>
    <t>Capital en cas de décès</t>
  </si>
  <si>
    <t>Libération des cotisations</t>
  </si>
  <si>
    <t xml:space="preserve">     début (ans)</t>
  </si>
  <si>
    <t>COTISATIONS</t>
  </si>
  <si>
    <t>Part employeur 50 %; autre:</t>
  </si>
  <si>
    <t xml:space="preserve">   concerne uniquement les salariés!</t>
  </si>
  <si>
    <t xml:space="preserve">    au maximum 100%!</t>
  </si>
  <si>
    <t xml:space="preserve">    au minimum 50%!</t>
  </si>
  <si>
    <t xml:space="preserve">   (vide = 50%)</t>
  </si>
  <si>
    <t>PRESTATIONS</t>
  </si>
  <si>
    <t>Taux d'intérêt prévu</t>
  </si>
  <si>
    <t xml:space="preserve">dès </t>
  </si>
  <si>
    <t>autres</t>
  </si>
  <si>
    <t xml:space="preserve">    vide = </t>
  </si>
  <si>
    <t>Établie par</t>
  </si>
  <si>
    <t>Responsable</t>
  </si>
  <si>
    <t>N° téléphone</t>
  </si>
  <si>
    <t xml:space="preserve">           Indiquer le capital-épargne?*</t>
  </si>
  <si>
    <t>* Selon l’arrêt A-4467/2011 du Tribunal administratif fédéral, le capital-épargne ne peut pas être communiqué
  à l’employeur ou autres tiers sans l’autorisation de la personne assurée.</t>
  </si>
  <si>
    <t>DATI DI BASE</t>
  </si>
  <si>
    <t>Indicazione sui documenti</t>
  </si>
  <si>
    <t>Titolo</t>
  </si>
  <si>
    <t>Cognome</t>
  </si>
  <si>
    <t>Nome</t>
  </si>
  <si>
    <t>Stato/età all’affiliazione alla PAT</t>
  </si>
  <si>
    <t>Anno d’affilliazione alla PAT</t>
  </si>
  <si>
    <t>Offerta al (primo del mese)</t>
  </si>
  <si>
    <t>SALARIO ASSICURATO</t>
  </si>
  <si>
    <t>Salario annuo sottoposto all'AVS</t>
  </si>
  <si>
    <t>Modulo salario</t>
  </si>
  <si>
    <t>MODULI</t>
  </si>
  <si>
    <t>Previdenza rischio</t>
  </si>
  <si>
    <t>Periodo di attesa</t>
  </si>
  <si>
    <t>Esonero dai contributi</t>
  </si>
  <si>
    <t xml:space="preserve">     inizio (anni)</t>
  </si>
  <si>
    <t>CONTRIBUTI</t>
  </si>
  <si>
    <t>Parte datore di lavoro 50 %; altra:</t>
  </si>
  <si>
    <t xml:space="preserve">   unicamente per i dipendenti!</t>
  </si>
  <si>
    <t xml:space="preserve">    al massimo 100%!</t>
  </si>
  <si>
    <t xml:space="preserve">    al minimo 50%!</t>
  </si>
  <si>
    <t xml:space="preserve">   (vuoto = 50%)</t>
  </si>
  <si>
    <t>PRESTAZIONI</t>
  </si>
  <si>
    <t>Tasso d'interesse proiettato</t>
  </si>
  <si>
    <t xml:space="preserve">dal </t>
  </si>
  <si>
    <t>altro</t>
  </si>
  <si>
    <t xml:space="preserve">    vuoto = </t>
  </si>
  <si>
    <t>Stesa</t>
  </si>
  <si>
    <t>Responsabile</t>
  </si>
  <si>
    <t>N° telefono</t>
  </si>
  <si>
    <t>* Secondo la sentenza A-4467/2011 del Tribunale amministrativo federale, l’avere di risparmio non può essere
  comunicato al datore di lavoro o altri terzi senza l’autorizzazione della persona assicurata.</t>
  </si>
  <si>
    <t xml:space="preserve">          Indicare l'avere di risparmio?*</t>
  </si>
  <si>
    <t>Altersguthaben per 31.12.</t>
  </si>
  <si>
    <t>Avoir de vieillesse au 31.12.</t>
  </si>
  <si>
    <t>Avere di risparmio al 31.12.</t>
  </si>
  <si>
    <t xml:space="preserve">Altersguthaben per </t>
  </si>
  <si>
    <t xml:space="preserve">Avoir de vieillesse au </t>
  </si>
  <si>
    <t xml:space="preserve">Avere di risparmio al </t>
  </si>
  <si>
    <t xml:space="preserve">davon BVG per </t>
  </si>
  <si>
    <t xml:space="preserve">Part LPP au </t>
  </si>
  <si>
    <t>davon BVG per 31.12.</t>
  </si>
  <si>
    <t>Part LPP au 31.12.</t>
  </si>
  <si>
    <t>Parte LPP al 31.12.</t>
  </si>
  <si>
    <t xml:space="preserve">Établie le </t>
  </si>
  <si>
    <t xml:space="preserve">; autre: </t>
  </si>
  <si>
    <t xml:space="preserve">; altra: </t>
  </si>
  <si>
    <t>gemäss UVG (148'200 Fr.)</t>
  </si>
  <si>
    <t>Übersteuer.</t>
  </si>
  <si>
    <t>uomo</t>
  </si>
  <si>
    <t>donna</t>
  </si>
  <si>
    <t>dipendente</t>
  </si>
  <si>
    <t>indip./ass. meno 50</t>
  </si>
  <si>
    <t>indip./ass. 50 o più</t>
  </si>
  <si>
    <t>L1 (LPP)</t>
  </si>
  <si>
    <t>secondo LAINF (148'200 fr.)</t>
  </si>
  <si>
    <t>R1 (secondo LPP)</t>
  </si>
  <si>
    <t>senza capitale supplementare</t>
  </si>
  <si>
    <t>TK2 (avere di risparmio)</t>
  </si>
  <si>
    <t>homme</t>
  </si>
  <si>
    <t>femme</t>
  </si>
  <si>
    <t>salarié</t>
  </si>
  <si>
    <t>indép./ass. moins 50</t>
  </si>
  <si>
    <t>indép./ass. 50 ou plus</t>
  </si>
  <si>
    <t>selon LAA (148'200 fr.)</t>
  </si>
  <si>
    <t>pas de supplément d'épargne</t>
  </si>
  <si>
    <t>R1 (selon LPP)</t>
  </si>
  <si>
    <t>pas de capital supplémentaire</t>
  </si>
  <si>
    <t>TK2 (avoir de vieillesse)</t>
  </si>
  <si>
    <t xml:space="preserve"> Nur wenn vL mindestens </t>
  </si>
  <si>
    <t xml:space="preserve"> Si le salaire ass. est au moins </t>
  </si>
  <si>
    <t xml:space="preserve"> Soltanto con un s.a. minimo di </t>
  </si>
  <si>
    <t>Keine Wahl; immer 1/2 Koordinationsabzug!</t>
  </si>
  <si>
    <t xml:space="preserve"> Keine Wahl; immer ohne Plafond!</t>
  </si>
  <si>
    <t>sempre 1/2 della deduzione di coord.!</t>
  </si>
  <si>
    <t>sempre senza tetto!</t>
  </si>
  <si>
    <t>Toujours 1/2 montant de coordination!</t>
  </si>
  <si>
    <t>Toujours sans plafond!</t>
  </si>
  <si>
    <t>Prestazioni e contributi</t>
  </si>
  <si>
    <t>Affiliazione alla PAT prima del 2017 / Offerta al</t>
  </si>
  <si>
    <t>Grado di occupazione / salario assicurato in CHF</t>
  </si>
  <si>
    <t xml:space="preserve">(tasso uff. PAT-LPP: </t>
  </si>
  <si>
    <t>ogni trimestre</t>
  </si>
  <si>
    <t>(p.f. contattare l'autorità fiscale!)</t>
  </si>
  <si>
    <t xml:space="preserve">Stesa da </t>
  </si>
  <si>
    <t xml:space="preserve">Responsabile: </t>
  </si>
  <si>
    <t>N° piano</t>
  </si>
  <si>
    <t>N° cerchia pers.</t>
  </si>
  <si>
    <t>capitale di vecchiaia</t>
  </si>
  <si>
    <t>o rendita annua</t>
  </si>
  <si>
    <t>= rendita mensile</t>
  </si>
  <si>
    <t>Affiliation à PAT-LPP avant 2017 / Offre au</t>
  </si>
  <si>
    <t>Taux d'occupation / salaire assuré en CHF</t>
  </si>
  <si>
    <t xml:space="preserve">(taux off. PAT-LPP: </t>
  </si>
  <si>
    <t>par trimestre</t>
  </si>
  <si>
    <t>(contactez l'adm. fiscale, SVP!)</t>
  </si>
  <si>
    <t>Übersetzungen Vorsorgeplanbeschrieb</t>
  </si>
  <si>
    <t>Vorsorgeplanbeschrieb</t>
  </si>
  <si>
    <t>Sie haben das AHV-Alter überschritten, bitte wenden Sie sich an die PAT-BVG!</t>
  </si>
  <si>
    <t>AHV-Einkommen abzüglich 1/2 Koordinationsbetrag gemäss BVG.</t>
  </si>
  <si>
    <t>AHV-Einkommen abzüglich 20% des AHV-Einkommens, maximal Koordinationsbetrag gemäss BVG.</t>
  </si>
  <si>
    <t>AHV-Einkommen abzüglich Koordinationsbetrag gemäss BVG, in % des Beschäftigungsgrades.</t>
  </si>
  <si>
    <t>AHV-Einkommen abzüglich Koordinationsabzug gemäss BVG.</t>
  </si>
  <si>
    <t>AHV-Einkommen ohne Abzug eines Koordinationsbetrags. Versichert ist das gesamte AHV-Einkommen.</t>
  </si>
  <si>
    <t>Der versicherte Lohn ist nach oben nicht begrenzt.</t>
  </si>
  <si>
    <t>Der maximal versicherte Lohn ist nach oben gemäss BVG begrenzt.</t>
  </si>
  <si>
    <t>Der maximal versicherte Lohn ist nach oben gemäss UVG begrenzt.</t>
  </si>
  <si>
    <t>Versichert sind jene Personen, deren Jahresgehalt 1/2 des Koordinationsbetrags gemäss BVG übersteigt.</t>
  </si>
  <si>
    <t>Versichert sind jene Personen, deren Jahresgehalt bei 100% Beschäftigung die Eintrittsschwelle gemäss BVG übersteigt.</t>
  </si>
  <si>
    <t>Versichert sind jene Personen, deren Jahresgehalt die Eintrittsschwelle gemäss BVG übersteigt.</t>
  </si>
  <si>
    <t>Versichert sind auch jene Personen, deren Jahresgehalt die Eintrittsschwelle gemäss BVG nicht erreicht.</t>
  </si>
  <si>
    <t>ALTERSVORSORGE (SPAREN AB 18)</t>
  </si>
  <si>
    <t>ALTERSVORSORGE (SPAREN AB 20)</t>
  </si>
  <si>
    <t>ALTERSVORSORGE</t>
  </si>
  <si>
    <t xml:space="preserve">Der Altersrücktritt ist zwischen den Altern 58 und 70 möglich. Zur Berechnung der jährlichen Altersrente wird das vorhandene Altersguthaben und allfällige Zusatzguthaben aus Einzahlungen für den vorzeitigen Altersrücktritt mit einem Prozentsatz umgewandelt (Umwandlungssatz). Der volle oder teilweise Kapitalbezug anstelle der Altersrente ist möglich und muss vor der ersten Rentenzahlung schriftlich beantragt werden. </t>
  </si>
  <si>
    <t>Bei Pensionierung ab dem ordentlichen AHV-Alter beträgt die Alterskinderrente 20% der Altersrente im ordentlichen AHV-Alter. Bei vorzeitiger Pensionierung berechnet sich die Alterskinderrente gemäss BVG.</t>
  </si>
  <si>
    <t>Die Alterskinderrente wird in jedem Pensionierungsalter gemäss BVG-Minimum berechnet.</t>
  </si>
  <si>
    <t>Es ist kein zusätzlicher Sparbeitrag vereinbart (Module ZS).</t>
  </si>
  <si>
    <t>Die gewählten zusätzlichen Sparbeiträge aus dem Modul ZS sind in untenstehender Beitragstabelle im Sparbeitrag enthalten.</t>
  </si>
  <si>
    <t>Altersrente</t>
  </si>
  <si>
    <t>UWS%</t>
  </si>
  <si>
    <t>des voraussichtlichen Altersguthabens, ohne Zins</t>
  </si>
  <si>
    <t>des voraussichtlichen BVG-Altersguthabens, ohne Zins</t>
  </si>
  <si>
    <t>des versicherten Lohnes</t>
  </si>
  <si>
    <t>der versicherten Invalidenrente</t>
  </si>
  <si>
    <t>der versicherten Altersrente</t>
  </si>
  <si>
    <t>der versicherten Altersrente im AHV-Alter</t>
  </si>
  <si>
    <t>Zusätzlich versichertes Todesfallkapital</t>
  </si>
  <si>
    <t>Total AGH</t>
  </si>
  <si>
    <t>Auszahlung des gesamten vorhandenen Altersguthabens</t>
  </si>
  <si>
    <t>gemäss Ziffer 16 des Vorsorgereglements</t>
  </si>
  <si>
    <t xml:space="preserve">* Der versicherte Lohn beträgt mindestens </t>
  </si>
  <si>
    <t>Im Todesfall oder bei Invalidität kommt das Kapital zur Auszahlung.</t>
  </si>
  <si>
    <t>Die Wartefrist für die Invalidenrente beträgt 720 Tage. Es besteht eine Kollektivkrankentaggeldversicherung mit BVG-koordinierter Leistungsdauer von 720 Tagen.</t>
  </si>
  <si>
    <t xml:space="preserve">Die Wartefrist für die Invalidenrente beträgt 720 Tage. Es besteht eine Taggeldversicherung (Krankheit und Unfall) von 720 Tagen.  </t>
  </si>
  <si>
    <t>Die Wartefrist für die Invalidenrente beträgt 360 Tage, bzw. endet frühestens mit der Leistungsausrichtung der Eidg. Invalidenversicherung.</t>
  </si>
  <si>
    <t>Bei Arbeitsunfähigkeit oder Invalidität werden die Altersgutschriften gemäss Plan gutgeschrieben. Die Wartefrist für die Beitragsbefreiung beträgt 6 Monate.</t>
  </si>
  <si>
    <t>Die Beiträge in Prozent des versicherten Lohnes betragen für Frauen und Männer:</t>
  </si>
  <si>
    <t>Risikobeitrag**</t>
  </si>
  <si>
    <t>Risikobeitrag</t>
  </si>
  <si>
    <t>* Zusätzlich wird eine Verwaltungskostenpauschale von total CHF 192 erhoben.</t>
  </si>
  <si>
    <t>** Gemäss BVG müssen die Risikobeiträge mindestens 6% der Gesamtbeiträge betragen (s. Versicherungsausweis).</t>
  </si>
  <si>
    <t>Description du plan de prévoyance</t>
  </si>
  <si>
    <t>CALCUL DU REVENU ASSURÉ</t>
  </si>
  <si>
    <t>Vous avez dépassé l'âge AVS; veuillez contacter la PAT-LPP!</t>
  </si>
  <si>
    <t>Revenu AVS moins 1/2 du montant de coordination selon la LPP.</t>
  </si>
  <si>
    <t>Revenu AVS moins 20% du revenu AVS, au maximum le montant de coordination selon la LPP.</t>
  </si>
  <si>
    <t>Revenu AVS moins le montant de coordination selon la LPP, en % du degré d'occupation.</t>
  </si>
  <si>
    <t>Revenu AVS moins le montant de coordination selon la LPP.</t>
  </si>
  <si>
    <t>Revenu AVS sans déduction d'un montant de coordination. L'ensemble du revenu AVS est assuré.</t>
  </si>
  <si>
    <t>Le salaire assuré n'est pas limité vers le haut.</t>
  </si>
  <si>
    <t>Le salaire maximal assuré est limité vers le haut conformément à la LPP.</t>
  </si>
  <si>
    <t>Le salaire maximal assuré est limité vers le haut conformément à la LAA.</t>
  </si>
  <si>
    <t>Sont assurées, les personnes dont le salaire annuel dépasse 1/2 du montant de coordination selon la LPP.</t>
  </si>
  <si>
    <t>Sont assurées, les personnes dont le salaire annuel à 100% d'occupation dépasse le seuil d'entrée selon la LPP.</t>
  </si>
  <si>
    <t>Sont assurées, les personnes dont le salaire annuel dépasse le seuil d'entrée selon la LPP.</t>
  </si>
  <si>
    <t>Sont également assurées, les personnes dont le salaire annuel n'atteint pas le seuil d'entrée selon la LPP.</t>
  </si>
  <si>
    <t>PRÉVOYANCE VIEILLESSE (DÈS 18 ANS)</t>
  </si>
  <si>
    <t>PRÉVOYANCE VIEILLESSE (DÈS 20 ANS)</t>
  </si>
  <si>
    <t>PRÉVOYANCE VIEILLESSE</t>
  </si>
  <si>
    <t xml:space="preserve">Le départ à la retraite est possible entre 58 et 70 ans. Pour calculer la rente de vieillesse annuelle, l'avoir de vieillesse disponible et l'éventuel avoir provenant de versement en faveur d'une retraite anticipée sont convertis selon un pourcentage donné (taux de conversion). Le versement en capital entier ou partiel au lieu de la rente de vieillesse est possible et doit être annoncé par écrit avant le paiement de la première rente. </t>
  </si>
  <si>
    <t>En cas de départ à la retraite à partir de l'âge AVS ordinaire, la rente pour enfant de retraité s'élève à 20% de la rente de vieillesse à l'âge AVS ordinaire. En cas de retraite anticipée, la rente pour enfant de retraité est calculée selon la LPP.</t>
  </si>
  <si>
    <t>La rente pour enfant de retraité est calculée selon le minimum LPP quel que soit l'âge du départ à la retraite.</t>
  </si>
  <si>
    <t>Cotisation d'épargne supplémentaire</t>
  </si>
  <si>
    <t>Il n'est pas convenu de cotisations d'épargne supplémentaires (module ZS).</t>
  </si>
  <si>
    <t>Les cotisations d'épargne supplémentaires choisies sont comprises dans la cotisation d'épargne dans le tableau ci-dessous.</t>
  </si>
  <si>
    <t>PRÉVOYANCE DE RISQUE</t>
  </si>
  <si>
    <t>En cas de décès ou d'invalidité avant l'âge de la retraite AVS ordinaire, les prestations annuelles s'élèvent à:</t>
  </si>
  <si>
    <t>Rente entière d'invalidité</t>
  </si>
  <si>
    <t>Rente pour enfants d'invalide</t>
  </si>
  <si>
    <t>Rente de conjoint ou de partenaire</t>
  </si>
  <si>
    <t>Rente d'orphelin</t>
  </si>
  <si>
    <t>de l'avoir de vieillesse présumé, sans intérêts</t>
  </si>
  <si>
    <t>de l'avoir de vieillesse LPP présumé, sans intérêts</t>
  </si>
  <si>
    <t>du salaire assuré</t>
  </si>
  <si>
    <t>rente de vieillesse</t>
  </si>
  <si>
    <t>TC%</t>
  </si>
  <si>
    <t>de la rente d'invalidité assurée</t>
  </si>
  <si>
    <t>de la rente de vieillesse assurée</t>
  </si>
  <si>
    <t>de la rente de vieillesse assurée à l'âge AVS</t>
  </si>
  <si>
    <t>Capital de décès supplémentaire assuré</t>
  </si>
  <si>
    <t>Avoir total</t>
  </si>
  <si>
    <t>versement du total de l'avoir de vieillesse accumulé</t>
  </si>
  <si>
    <t>selon chiffre 16 du règlement de prévoyance</t>
  </si>
  <si>
    <t xml:space="preserve">* Le salaire assuré s'élève au moins à </t>
  </si>
  <si>
    <t>Il existe un droit à une rente pour enfant jusqu'à 20 ans, ou 25 ans si l'enfant est en formation.</t>
  </si>
  <si>
    <t>Le capital est versé en cas de décès ou d'invalidité.</t>
  </si>
  <si>
    <t>Le délai d'attente pour la rente d'invalidité est de 720 jours. Il existe une assurance collective d'indémnités journalières en cas de maladie avec une durée de prestation coordonnée avec la LPP de 720 jours.</t>
  </si>
  <si>
    <t>Le délai d'attente pour la rente d'invalidité est de 720 jours. Il existe une assurance collective d'indémnités journalières (maladie et accident) de 720 jours.</t>
  </si>
  <si>
    <t>Le délai d'attente pour la rente d'invalidité est de 360 jours ou prend fin au plus tôt avec le versement de la part de l'assurance-invalidité fédérale.</t>
  </si>
  <si>
    <t>En cas d'incapacité de travail ou d'invalidité, les bonifications de vieillesse sont créditées selon le plan. Le délai d'attente pour la libération du paiement des cotisations est de 6 mois.</t>
  </si>
  <si>
    <t>En cas d'incapacité de travail ou d'invalidité, les bonifications de vieillesse sont créditées selon la LPP. Le salaire libéré des cotisations est déterminé selon la LPP. Le délai d'attente pour la libération du paiement des cotisations est de 6 mois.</t>
  </si>
  <si>
    <t>Les cotisations en pourcentage du salaire assuré s'élèvent pour les femmes et les hommes à:</t>
  </si>
  <si>
    <t>Cotisation 
de risque</t>
  </si>
  <si>
    <t>Cotisations totales *</t>
  </si>
  <si>
    <t>Part
 salarié</t>
  </si>
  <si>
    <t>Part
employeur</t>
  </si>
  <si>
    <t>* Un montant forfaitaire pour les frais administratifs de CHF 192.00 au total est prélevé en sus des cotisations ci-dessus.</t>
  </si>
  <si>
    <t>** Selon la LPP, les cotisations de risque doivent s’élever au minimum à 6% du total des cotisations.</t>
  </si>
  <si>
    <t>Cotisation 
de risque**</t>
  </si>
  <si>
    <t>Descrizione del piano previdenziale</t>
  </si>
  <si>
    <t>CALCOLO DEL SALARIO ASSICURATO</t>
  </si>
  <si>
    <t>Se ha raggiunto l'età AVS, si prega di rivolgersi alla PAT-LPP!</t>
  </si>
  <si>
    <t>Reddito AVS meno 1/2 dell'importo di coordinamento LPP.</t>
  </si>
  <si>
    <t>Reddito AVS meno 20% del reddito AVS, al massimo l'importo di coordinamento LPP.</t>
  </si>
  <si>
    <t>Reddito AVS meno l'importo di coordinamento LPP, in % del grado di occupazione.</t>
  </si>
  <si>
    <t>Reddito AVS meno deduzione di coordinamento LPP.</t>
  </si>
  <si>
    <t>Reddito AVS senza deduzione di un importo di coordinamento. È assicurato l'intero reddito AVS.</t>
  </si>
  <si>
    <t>Per il salario assicurato non è previsto alcun limite superiore.</t>
  </si>
  <si>
    <t>Per il salario massimo assicurato è previsto un limite superiore ai sensi della LPP.</t>
  </si>
  <si>
    <t>Per il salario massimo assicurato è previsto un limite superiore ai sensi della LAINF.</t>
  </si>
  <si>
    <t>Vengono assicurate le persone il cui salario annuo supera 1/2 dell'importo di coordinamento LPP.</t>
  </si>
  <si>
    <t>Vengono assicurate le persone il cui salario annuo al 100% di occupazione supera la soglia d'ingresso secondo la LPP.</t>
  </si>
  <si>
    <t>Vengono assicurate le persone il cui salario annuo supera la soglia d'ingresso secondo la LPP.</t>
  </si>
  <si>
    <t>Vengono assicurate anche le persone il cui salario annuo non supera la soglia di ingresso secondo la LPP.</t>
  </si>
  <si>
    <t>PREVIDENZA PER LA VECCHIAIA (A PARTIRE DA 18 ANNI)</t>
  </si>
  <si>
    <t>PREVIDENZA PER LA VECCHIAIA (A PARTIRE DA 20 ANNI)</t>
  </si>
  <si>
    <t>PREVIDENZA PER LA VECCHIAIA</t>
  </si>
  <si>
    <r>
      <t xml:space="preserve">Il pensionamento è possibile tra l'età di </t>
    </r>
    <r>
      <rPr>
        <b/>
        <sz val="10"/>
        <rFont val="Arial"/>
        <family val="2"/>
      </rPr>
      <t>58 e 70 anni</t>
    </r>
    <r>
      <rPr>
        <sz val="10"/>
        <rFont val="Arial"/>
        <family val="2"/>
      </rPr>
      <t xml:space="preserve">. La rendita di vecchiaia annua si calcola convertendo l'avere di vecchiaia disponibile ed eventuali averi aggiuntivi versati per il pensionamento anticipato con una percentuale (tasso di conversione). La rendita di vecchiaia può essere riscossa, in toto o in parte, sotto forma di capitale. La richiesta deve essere inoltrata prima del pagamento della prima rendita. </t>
    </r>
  </si>
  <si>
    <t>In caso di pensionamento a partire dall'ètà ordinaria AVS la rendita per figli di pensionati è pari al 20% della rendita di vecchiaia nell'età ordinaria AVS.  In caso di pensionamento anticipato la rendita per i figli si calcola in base alla LPP.</t>
  </si>
  <si>
    <t>La rendita per figli di pensionati viene calcolata per ogni età di pensionamento in base al minimo LPP.</t>
  </si>
  <si>
    <t>Contributo di risparmio aggiuntivo</t>
  </si>
  <si>
    <t>Non è stato concordato nessun contributo di risparmio aggiuntivo (moduli ZS).</t>
  </si>
  <si>
    <t>I contributi di risparmio aggiuntivi scelti nel modulo ZS sono riportati nella sottostante tabella alla voce contributo di risparmio.</t>
  </si>
  <si>
    <t>PREVIDENZA RISCHI</t>
  </si>
  <si>
    <t>In caso di decesso o invalidità prima dell'età ordinaria AVS le prestazioni annue ammontano a:</t>
  </si>
  <si>
    <t>Rendita di invalidità completa</t>
  </si>
  <si>
    <t>Rendita per figli di invalidi</t>
  </si>
  <si>
    <t>Rendita per coniuge o convivente</t>
  </si>
  <si>
    <t>Rendita per orfani</t>
  </si>
  <si>
    <t>dell'avere di vecchiaia previsto, senza interessi</t>
  </si>
  <si>
    <t>dell'avere di vecchiaia LPP previsto, senza interessi</t>
  </si>
  <si>
    <t>del salario assicurato</t>
  </si>
  <si>
    <t>della rendita di invalidità assicurata</t>
  </si>
  <si>
    <t>della rendita di vecchiaia assicurata</t>
  </si>
  <si>
    <t>della rendita di vecchiaia assicurata all'età AVS</t>
  </si>
  <si>
    <t>Totale AV</t>
  </si>
  <si>
    <t>versamento dell'intero avere di vecchiaia disponibile</t>
  </si>
  <si>
    <t>conformemente al punto 16 del regolamento di previdenza</t>
  </si>
  <si>
    <t xml:space="preserve">* Il salario assicurato ammonta ad almeno </t>
  </si>
  <si>
    <t>Il diritto a rendite per i figli è previsto fino all'età di 20 anni o all'età di 25 anni se il figlio è in fase di formazione.</t>
  </si>
  <si>
    <t>In caso di decesso o di invalidità il capitale viene liquidato.</t>
  </si>
  <si>
    <t>Il termine di attesa per la rendita di invalidità è di 720 giorni. È stata stipulata un'assicurazione collettiva di indennità giornaliera per malattia con durata di prestazione coordinata LPP di 720 giorni.</t>
  </si>
  <si>
    <t>Il termine di attesa per la rendita di invalidità è di 720 giorni. È stata stipulata un'assicurazione collettiva di indennità giornaliera (malattia e infortunio) con durata di prestazione di 720 giorni.</t>
  </si>
  <si>
    <t>Il termine di attesa per la rendita di invalidità è di 360 giorni, risp. si conclude non prima della liquidazione della prestazione da parte dell'Assicurazione federale per l'invalidità.</t>
  </si>
  <si>
    <t>In caso di incapacità lavorativa o di invalidità gli accrediti di vecchiaia vengono assegnati come previsto dal piano. Il termine di attesa per l'esonero dal pagamento dei contributi è di 6 mesi.</t>
  </si>
  <si>
    <t>In caso di incapacità lavorativa o di invalidità gli accrediti di vecchiaia vengono assegnati secondo la LPP. Il salario esonerato viene determinato ai sensi della LPP. Il termine di attesa per l'esonero dal pagamento dei contributi è di 6 mesi.</t>
  </si>
  <si>
    <t>Bei Arbeitsunfähigkeit oder Invalidität werden die Altersgutschriften gemäss BVG gutgeschrieben. Der beitragsbefreite Lohn wird gemäss BVG bestimmt. Die Wartefrist für die Beitragsbefreiung beträgt 6 Monate.</t>
  </si>
  <si>
    <t>I contributi in percentuale del salario assicurato ammontano per donne e uomini:</t>
  </si>
  <si>
    <t>Contributo di risparmio</t>
  </si>
  <si>
    <t>Contributo di rischio</t>
  </si>
  <si>
    <t>Contributo di rischio**</t>
  </si>
  <si>
    <t>Totale contributi*</t>
  </si>
  <si>
    <t>Quota
 dipendente</t>
  </si>
  <si>
    <t>Quota
datore di lavoro</t>
  </si>
  <si>
    <t>* In aggiunta ai contributi indicati, per i costi amministrativi viene addebitato un importo forfettario di CHF 192.</t>
  </si>
  <si>
    <t>** Secondo la LPP i contributi di rischio devono ammontare al minimo a 6% del totale dei contributi (v. certificato di assicurazione).</t>
  </si>
  <si>
    <t>Der maximal versicherte Lohn ist auf das Maximum gemäss Sicherheitsfonds begrenzt.</t>
  </si>
  <si>
    <t>Le salaire maximal assuré est limité vers le haut conformément à limite du fond de garantie.</t>
  </si>
  <si>
    <t>Der maximal versicherte Lohn ist auf 300% der maximalen AHV-Altersrente begrenzt.</t>
  </si>
  <si>
    <t>Le salaire maximal assuré est limité vers le haut conformément à 300% de la rente de vieillesse maximale selon l'AVS.</t>
  </si>
  <si>
    <t>Per il salario massimo assicurato è previsto un limite superiore ai sensi del fondo di garanzia LPP.</t>
  </si>
  <si>
    <t>Per il salario massimo assicurato è previsto un limite superiore di 300% della rendita massima AVS.</t>
  </si>
  <si>
    <t>fix gemäss BVG - bei L2</t>
  </si>
  <si>
    <t>Berechnung der Angemessenheit</t>
  </si>
  <si>
    <t>Keine Berechnung möglich bei Jahreslöhnen unter CHF 50'000.</t>
  </si>
  <si>
    <t>Keine Berechnung möglich, da zu tiefe überobligatorische Leistungen.</t>
  </si>
  <si>
    <t>voraussichtliches Altersendkapital aus maximalem Einkauf gemäss Vorsorgereglement</t>
  </si>
  <si>
    <t>- bei Löhnen bis</t>
  </si>
  <si>
    <t>- bei Löhnen über</t>
  </si>
  <si>
    <t>Calcul de l’adéquation selon l’art. 1 OPP2</t>
  </si>
  <si>
    <t>Surimposition du revenu AVS effectif :</t>
  </si>
  <si>
    <t>CALCUL DE L’ADÉQUATION SELON L’ART. 1 OPP2</t>
  </si>
  <si>
    <t>Pas de calcul possible en cas de salaires annuels inférieurs à CHF 50'000.</t>
  </si>
  <si>
    <t>Pas de calcul possible car les prestations surobligatoires sont trop basses.</t>
  </si>
  <si>
    <t>Définition de l’adéquation selon l’art. 1 OPP2:</t>
  </si>
  <si>
    <t>Les rentes AVS et CP ne dépassent pas 85% du revenu AVS.</t>
  </si>
  <si>
    <t>Rente de vieillesse prévue en CHF, projetée avec intérêt*</t>
  </si>
  <si>
    <t>à 65 ans</t>
  </si>
  <si>
    <t>à 64 ans</t>
  </si>
  <si>
    <t>Salaire annuel AVS effectif en CHF</t>
  </si>
  <si>
    <t>Adéquation pour le revenu de rente selon l’art. 1 OPP2</t>
  </si>
  <si>
    <t>Hypothèse: rente AVS maximale simple à l’âge AVS</t>
  </si>
  <si>
    <t>Rente adéquate maximale de la caisse de pension</t>
  </si>
  <si>
    <t>Revenu de rente maximal admissible</t>
  </si>
  <si>
    <t>Rachat possible selon le règlement de prévoyance</t>
  </si>
  <si>
    <t>Capital de vieillesse final prévu sur la base du rachat maximal selon le règlement de prév.</t>
  </si>
  <si>
    <t>Rente de la caisse de pension en cas de rachat maximum réglementaire</t>
  </si>
  <si>
    <t>Excédent de rente par rapport à la rente adéquate maximale de la caisse de pension</t>
  </si>
  <si>
    <t>Excédent du capital de vieillesse final</t>
  </si>
  <si>
    <t>Réduction du rachat maximal réglementaire en raison de l’adéquation</t>
  </si>
  <si>
    <t>* Seules les années complètes sont prises en compte, escomptées au taux d'intérêt minimal LPP.</t>
  </si>
  <si>
    <t>RACHAT MAXIMAL ADÉQUAT PAR ANNÉE DE CALCUL</t>
  </si>
  <si>
    <t>1) Hypothèse de calcul de la rente de vieillesse AVS simple:</t>
  </si>
  <si>
    <t xml:space="preserve">  Valeur approximative = 20% du salaire annuel + 40% au max. de la rente de vieillesse AVS</t>
  </si>
  <si>
    <t>- pour des salaires supérieurs à</t>
  </si>
  <si>
    <t xml:space="preserve">- pour des salaires jusqu' à </t>
  </si>
  <si>
    <t xml:space="preserve">  Rente de vieillesse AVS simple maximale</t>
  </si>
  <si>
    <t>Calcolo dell'adeguatezza ai sensi dell'art. 1 OPP 2</t>
  </si>
  <si>
    <t>Sovraimposizione del reddito AVS effettivo:</t>
  </si>
  <si>
    <t>CALCOLO DELL'ADEGUATEZZA AI SENSI DELL'ART. 1 OPP 2</t>
  </si>
  <si>
    <t>Il calcolo non è possbile con salari annui inferiori a CHF 50'000.</t>
  </si>
  <si>
    <t>Il calcolo non è possibile perché le prestazioni sovraobbligatorie sono troppo basse.</t>
  </si>
  <si>
    <t xml:space="preserve">Definizione di adeguatezza ai sensi dell'art. 1 OPP2: </t>
  </si>
  <si>
    <t>Le rendite AVS e LPP non superano l'85% del reddito AVS.</t>
  </si>
  <si>
    <t>Rendita di vecchiaia prevista, proiezione con interessi*, in CHF</t>
  </si>
  <si>
    <t>all'età di 65 anni</t>
  </si>
  <si>
    <t>all'età di 64 anni</t>
  </si>
  <si>
    <t>Salario annuo AVS effettivo in CHF</t>
  </si>
  <si>
    <t>Adeguatezza per il reddito da rendita ai sensi dell'art. 1 OPP2</t>
  </si>
  <si>
    <t>Ipotesi: rendita AVS semplice massima all'età AVS</t>
  </si>
  <si>
    <t>Rendita di cassa pensione massima adeguata</t>
  </si>
  <si>
    <t>Reddito da rendita massimo ammissibile</t>
  </si>
  <si>
    <t>Riscatto possibile in base al regolamento di previdenza</t>
  </si>
  <si>
    <t>capitale di vecchiaia finale previsto proveniente dal riscatto massimo in base al regolamento di previdenza</t>
  </si>
  <si>
    <t>Rendita della cassa pensione con riscatto regolamentare massimo</t>
  </si>
  <si>
    <t xml:space="preserve">Eccedenza di rendita rispetto alla rendita di cassa pensione massima adeguata </t>
  </si>
  <si>
    <t xml:space="preserve">Eccedenza del capitale di vecchiaia finale </t>
  </si>
  <si>
    <t>Riduzione del riscatto massimo regolamentare in base al principio di adeguatezza</t>
  </si>
  <si>
    <t>*Sono presi in considerazione solo anni interi, scontati con il tasso di interesse minimo LPP.</t>
  </si>
  <si>
    <t>RISCATTO MASSIMO ADEGUATO PER ANNO DI CALCOLO</t>
  </si>
  <si>
    <t>1) Ipotesi calcolo della rendita di vecchiaia AVS semplice:</t>
  </si>
  <si>
    <t>- per salari fino a</t>
  </si>
  <si>
    <t xml:space="preserve">  valore approssimativo = 20% del salario annuo + 40% max. rendita di vecchiaia AVS</t>
  </si>
  <si>
    <t>- per salari superiori a</t>
  </si>
  <si>
    <t xml:space="preserve">  rendita di vecchiaia AVS semplice massima </t>
  </si>
  <si>
    <t>Feuille supplémentaire au certificat d'assurance</t>
  </si>
  <si>
    <t>Foglio supplementare al certificato du assicurazione</t>
  </si>
  <si>
    <r>
      <t xml:space="preserve">No de décompte </t>
    </r>
    <r>
      <rPr>
        <i/>
        <sz val="9"/>
        <rFont val="Arial"/>
        <family val="2"/>
      </rPr>
      <t>(si connu)</t>
    </r>
  </si>
  <si>
    <t>Contrat d’affiliation et formulaire d’inscription pour indépendant</t>
  </si>
  <si>
    <t>Déclaration d’affiliation</t>
  </si>
  <si>
    <t>Prestations assurées, cotisations</t>
  </si>
  <si>
    <t>Modalités du versement des cotisations</t>
  </si>
  <si>
    <t>Les cotisations sont généralement dues chaque trimestre. Les cotisations sont exigibles 10 jours après la fin de la période de versement, mensuelle ou trimestrielle. Des frais de sommation et des intérêts moratoires selon le CO sont dus pour tout versement tardif. Seul l’indépendant répond des cotisations qui n’auraient pas été versées et des lacunes de couverture en découlant.</t>
  </si>
  <si>
    <t>Résiliation du contrat d’affiliation, délais de résiliation</t>
  </si>
  <si>
    <t xml:space="preserve">Début du droit aux prestations d'invalidité </t>
  </si>
  <si>
    <t>1. Deux délais d’attente peuvent être choisis pour le début du droit aux prestations d’invalidité. Un délai d’attente de 360 jours est généralement choisi lorsqu’aucune autre assurance (par exemple une assurance indemnités journalières maladie ou accident) ne verse de prestations au-delà du 360ème jour. S’il existe une assurance indemnités journalières maladie avec une durée des prestations d’au moins 720 jours ainsi qu’une assurance-accidents facultative au sens de la LAA, il est possible de choisir un délai d’attente de 720 jours pour le droit aux prestations d’invalidité.</t>
  </si>
  <si>
    <t>Pour le début du droit à la rente d’invalidité, je choisis le délai d’attente suivant:</t>
  </si>
  <si>
    <t>Identité</t>
  </si>
  <si>
    <t>Nom, prénom:</t>
  </si>
  <si>
    <t>No AVS:</t>
  </si>
  <si>
    <t>Date de n.</t>
  </si>
  <si>
    <t>Rue, NPA, lieu:</t>
  </si>
  <si>
    <t>Sexe:</t>
  </si>
  <si>
    <t>Etat civil:</t>
  </si>
  <si>
    <r>
      <rPr>
        <sz val="9"/>
        <rFont val="Arial"/>
        <family val="2"/>
      </rPr>
      <t xml:space="preserve"> </t>
    </r>
    <r>
      <rPr>
        <sz val="9"/>
        <rFont val="Wingdings 2"/>
        <family val="1"/>
        <charset val="2"/>
      </rPr>
      <t>£</t>
    </r>
    <r>
      <rPr>
        <sz val="9"/>
        <rFont val="Arial"/>
        <family val="2"/>
      </rPr>
      <t xml:space="preserve"> célibataire</t>
    </r>
  </si>
  <si>
    <r>
      <rPr>
        <sz val="9"/>
        <rFont val="Arial"/>
        <family val="2"/>
      </rPr>
      <t xml:space="preserve"> </t>
    </r>
    <r>
      <rPr>
        <sz val="9"/>
        <rFont val="Wingdings 2"/>
        <family val="1"/>
        <charset val="2"/>
      </rPr>
      <t>£</t>
    </r>
    <r>
      <rPr>
        <sz val="9"/>
        <rFont val="Arial"/>
        <family val="2"/>
      </rPr>
      <t xml:space="preserve"> légalement séparé/e</t>
    </r>
  </si>
  <si>
    <r>
      <rPr>
        <sz val="9"/>
        <rFont val="Arial"/>
        <family val="2"/>
      </rPr>
      <t xml:space="preserve"> </t>
    </r>
    <r>
      <rPr>
        <sz val="9"/>
        <rFont val="Wingdings 2"/>
        <family val="1"/>
        <charset val="2"/>
      </rPr>
      <t>£</t>
    </r>
    <r>
      <rPr>
        <sz val="9"/>
        <rFont val="Arial"/>
        <family val="2"/>
      </rPr>
      <t xml:space="preserve"> divorcé/e</t>
    </r>
  </si>
  <si>
    <r>
      <rPr>
        <sz val="9"/>
        <rFont val="Arial"/>
        <family val="2"/>
      </rPr>
      <t xml:space="preserve"> </t>
    </r>
    <r>
      <rPr>
        <sz val="9"/>
        <rFont val="Wingdings 2"/>
        <family val="1"/>
        <charset val="2"/>
      </rPr>
      <t>£</t>
    </r>
    <r>
      <rPr>
        <sz val="9"/>
        <rFont val="Arial"/>
        <family val="2"/>
      </rPr>
      <t xml:space="preserve"> veuf/veuve</t>
    </r>
  </si>
  <si>
    <r>
      <rPr>
        <sz val="9"/>
        <rFont val="Arial"/>
        <family val="2"/>
      </rPr>
      <t xml:space="preserve"> </t>
    </r>
    <r>
      <rPr>
        <sz val="9"/>
        <rFont val="Wingdings 2"/>
        <family val="1"/>
        <charset val="2"/>
      </rPr>
      <t>£</t>
    </r>
    <r>
      <rPr>
        <sz val="9"/>
        <rFont val="Arial"/>
        <family val="2"/>
      </rPr>
      <t xml:space="preserve"> partenariat dissout</t>
    </r>
  </si>
  <si>
    <r>
      <rPr>
        <sz val="9"/>
        <rFont val="Arial"/>
        <family val="2"/>
      </rPr>
      <t xml:space="preserve"> </t>
    </r>
    <r>
      <rPr>
        <sz val="9"/>
        <rFont val="Wingdings 2"/>
        <family val="1"/>
        <charset val="2"/>
      </rPr>
      <t>£</t>
    </r>
    <r>
      <rPr>
        <sz val="9"/>
        <rFont val="Arial"/>
        <family val="2"/>
      </rPr>
      <t xml:space="preserve"> marié/e depuis: ................................................</t>
    </r>
  </si>
  <si>
    <r>
      <rPr>
        <sz val="9"/>
        <rFont val="Arial"/>
        <family val="2"/>
      </rPr>
      <t xml:space="preserve"> </t>
    </r>
    <r>
      <rPr>
        <sz val="9"/>
        <rFont val="Wingdings 2"/>
        <family val="1"/>
        <charset val="2"/>
      </rPr>
      <t>£</t>
    </r>
    <r>
      <rPr>
        <sz val="9"/>
        <rFont val="Arial"/>
        <family val="2"/>
      </rPr>
      <t xml:space="preserve"> partenariat enregistré depuis: .............................................................</t>
    </r>
  </si>
  <si>
    <t>Profession, titre:</t>
  </si>
  <si>
    <t>No tél.:</t>
  </si>
  <si>
    <t>Indications concernant l’assurance</t>
  </si>
  <si>
    <t>Auprès de quelle caisse AVS êtes-vous affilié/e?</t>
  </si>
  <si>
    <t>Début de l’assurance (début d’un mois)</t>
  </si>
  <si>
    <t>Salaire annuel à assurer</t>
  </si>
  <si>
    <t>(Peut être assuré au maximum le revenu soumis à l’AVS avant</t>
  </si>
  <si>
    <t>déduction des propres cotisations à la prévoyance professionnelle.)</t>
  </si>
  <si>
    <t>Depuis quand êtes-vous indépendant/e?</t>
  </si>
  <si>
    <t xml:space="preserve">Avez-vous conclu une assurance LPP à titre facultatif au cours
 de la première année après avoir repris une activité indépendante?
</t>
  </si>
  <si>
    <r>
      <rPr>
        <sz val="9"/>
        <rFont val="Arial"/>
        <family val="2"/>
      </rPr>
      <t xml:space="preserve"> </t>
    </r>
    <r>
      <rPr>
        <sz val="9"/>
        <rFont val="Wingdings 2"/>
        <family val="1"/>
        <charset val="2"/>
      </rPr>
      <t>£</t>
    </r>
    <r>
      <rPr>
        <sz val="9"/>
        <rFont val="Arial"/>
        <family val="2"/>
      </rPr>
      <t xml:space="preserve"> oui</t>
    </r>
  </si>
  <si>
    <r>
      <rPr>
        <sz val="9"/>
        <rFont val="Arial"/>
        <family val="2"/>
      </rPr>
      <t xml:space="preserve"> </t>
    </r>
    <r>
      <rPr>
        <sz val="9"/>
        <rFont val="Wingdings 2"/>
        <family val="1"/>
        <charset val="2"/>
      </rPr>
      <t>£</t>
    </r>
    <r>
      <rPr>
        <sz val="9"/>
        <rFont val="Arial"/>
        <family val="2"/>
      </rPr>
      <t xml:space="preserve"> non </t>
    </r>
  </si>
  <si>
    <t>Existe-t-il déjà une assurance LPP qui sera poursuivie?</t>
  </si>
  <si>
    <t>Si oui</t>
  </si>
  <si>
    <r>
      <rPr>
        <sz val="9"/>
        <rFont val="Arial"/>
        <family val="2"/>
      </rPr>
      <t xml:space="preserve"> </t>
    </r>
    <r>
      <rPr>
        <sz val="9"/>
        <rFont val="Wingdings 2"/>
        <family val="1"/>
        <charset val="2"/>
      </rPr>
      <t>£</t>
    </r>
    <r>
      <rPr>
        <sz val="9"/>
        <rFont val="Arial"/>
        <family val="2"/>
      </rPr>
      <t xml:space="preserve"> en tant qu’indépendant/e</t>
    </r>
  </si>
  <si>
    <r>
      <rPr>
        <sz val="9"/>
        <rFont val="Arial"/>
        <family val="2"/>
      </rPr>
      <t xml:space="preserve"> </t>
    </r>
    <r>
      <rPr>
        <sz val="9"/>
        <rFont val="Wingdings 2"/>
        <family val="1"/>
        <charset val="2"/>
      </rPr>
      <t>£</t>
    </r>
    <r>
      <rPr>
        <sz val="9"/>
        <rFont val="Arial"/>
        <family val="2"/>
      </rPr>
      <t xml:space="preserve"> en tant que salarié/e</t>
    </r>
  </si>
  <si>
    <t>Auprès de quelle institution de prévoyance?   .................................................................................................................................</t>
  </si>
  <si>
    <t>Si non, à quel moment le dernier emploi a-t-il pris fin?   ............................................................................................................</t>
  </si>
  <si>
    <r>
      <t xml:space="preserve">S’il existe un droit à une prestation de libre passage, celle-ci doit être versée à la nouvelle institution de prévoyance professionnelle (art. 4 al. 2bis LFLP). Prière de faire virer le montant sur le compte suivant:
</t>
    </r>
    <r>
      <rPr>
        <i/>
        <sz val="9"/>
        <rFont val="Arial"/>
        <family val="2"/>
      </rPr>
      <t>acrevis Bank AG, en faveur de: PAT-BVG, 9001 St. Gall, 
IBAN CH33 0690 0016 0084 3650 2</t>
    </r>
  </si>
  <si>
    <t xml:space="preserve">Avez-vous déjà antérieurement procédé à un versement anticipé pour l’acquisition d’un logement en propriété? Si oui, prière de joindre les documents correspondants
</t>
  </si>
  <si>
    <t>Employez-vous du personnel?</t>
  </si>
  <si>
    <t>Etes-vous affilié/e, pour votre personnel, auprès d’une institution de prévoyance ?</t>
  </si>
  <si>
    <t>Si oui, nom de cette institution de prévoyance</t>
  </si>
  <si>
    <t>Indications concernant la santé</t>
  </si>
  <si>
    <t>Disposez-vous de votre pleine capacité de travail ou de gain?</t>
  </si>
  <si>
    <t>Si non, pour quel motif?   ........................................................................................................................................................</t>
  </si>
  <si>
    <t>Touchez-vous une rente d’invalidité (suite à une maladie ou à un accident)?</t>
  </si>
  <si>
    <t xml:space="preserve">Si oui: degré d’invalidité: ............ %:   </t>
  </si>
  <si>
    <t xml:space="preserve">Existait-il, auprès de l’ancienne institution de prévoyance, une réserve pour raison de santé, ou bien des  propositions pour d’autres assurances de personnes ont-elles été refusées?
</t>
  </si>
  <si>
    <t>Si oui, quand, par qui et pour quel motif?</t>
  </si>
  <si>
    <t>A l’heure actuelle, êtes-vous en bonne santé?</t>
  </si>
  <si>
    <t>Si non, pour quel motif?</t>
  </si>
  <si>
    <t xml:space="preserve">Souffrez-vous actuellement d’une maladie ou des suites d’une maladie ou d’un accident ou d’une infirmité congénitale?
</t>
  </si>
  <si>
    <t>Si oui: descriptif exact, depuis quand, nom et adresse du médecin traitant.</t>
  </si>
  <si>
    <t xml:space="preserve">Avez-vous dû interrompre votre travail, entièrement ou partiellement, pendant plus
de quatre semaines consécutives au cours des cinq dernières années?
</t>
  </si>
  <si>
    <t xml:space="preserve">Avez-vous souffert de maladies ou subi des accidents ou des opérations au cours 
des 10 dernières années ou une opération est-elle prévue prochainement? 
</t>
  </si>
  <si>
    <t xml:space="preserve">Si oui, descriptif exact, date, nom et adresse du médecin traitant.
</t>
  </si>
  <si>
    <t>Si oui, lesquels?</t>
  </si>
  <si>
    <t xml:space="preserve">Taille </t>
  </si>
  <si>
    <t>Poids</t>
  </si>
  <si>
    <t>Choix du plan de prévoyance</t>
  </si>
  <si>
    <t>Statut</t>
  </si>
  <si>
    <t>N° de plan</t>
  </si>
  <si>
    <t>Âge début épargne</t>
  </si>
  <si>
    <t>N° cercle</t>
  </si>
  <si>
    <t>Membre d’une association ou organisation professionnelle</t>
  </si>
  <si>
    <t>Dans laquelle?</t>
  </si>
  <si>
    <t>Pour une liste des associations ou organisations professionnelles agréées, voir www.pat-bvg.ch &gt; Downloads &gt; 
Aides-mémoires</t>
  </si>
  <si>
    <t>Confirmation et signature</t>
  </si>
  <si>
    <t>Lieu et date</t>
  </si>
  <si>
    <t>Signature</t>
  </si>
  <si>
    <r>
      <t xml:space="preserve">No. di conteggio </t>
    </r>
    <r>
      <rPr>
        <i/>
        <sz val="9"/>
        <rFont val="Arial"/>
        <family val="2"/>
      </rPr>
      <t>(se a conoscenza):</t>
    </r>
  </si>
  <si>
    <t>Contratto di affiliazione e formulario d’iscrizione per indipendenti</t>
  </si>
  <si>
    <t>Dichiarazione di affiliazione</t>
  </si>
  <si>
    <t>Prestazioni assicurate e contributi</t>
  </si>
  <si>
    <t>Modalità di versamento dei contributi</t>
  </si>
  <si>
    <t>I contributi vanno versati di regola trimestralmente. Il versamento deve essere effettuato entro 10 giorni dalla scadenza del relativo termine di pagamento mensile risp. trimestrale. In caso di ritardo nel pagamento dei contributi sono dovuti una tassa d’ingiunzione e l’interesse di mora ai sensi del Codice delle obbligazioni (CO). Per i contributi non pagati risp. per le lacune previdenziali createsi di conseguenza risponde esclusivamente l’indipendente.</t>
  </si>
  <si>
    <t>Risoluzione del contratto di affiliazione, termini di disdetta</t>
  </si>
  <si>
    <t>Nascita del diritto alle prestazioni d’invalidità</t>
  </si>
  <si>
    <t>1. Per la nascita del diritto alle prestazioni d’invalidità possono essere scelti due termini di attesa. Di regola viene scelto un termine di attesa di 360 giorni se nessun’altra assicurazione (p.es. assicurazione d’indennità giornaliera per malattia o infor-tunio) concede prestazioni oltre il 360° giorno. Se è stata stipulata un’assicurazione d’indennità giornaliera per malattia con una durata delle prestazioni di almeno 720 giorni e un’assicurazione infortuni facoltativa ai sensi della LAINF, per il diritto alle prestazioni d’invalidità può essere scelto un termine di attesa di 720 giorni.</t>
  </si>
  <si>
    <t>Per la nascita del diritto alle rendite di invalidità scelgo il seguente termine di attesa:</t>
  </si>
  <si>
    <t>Dati personali</t>
  </si>
  <si>
    <t>Cognome, nome:</t>
  </si>
  <si>
    <t>No. AVS:</t>
  </si>
  <si>
    <t>nato/a il</t>
  </si>
  <si>
    <t>Via, NPA, domicilio:</t>
  </si>
  <si>
    <t>Sesso:</t>
  </si>
  <si>
    <t>Stato civile:</t>
  </si>
  <si>
    <r>
      <rPr>
        <sz val="9"/>
        <rFont val="Arial"/>
        <family val="2"/>
      </rPr>
      <t xml:space="preserve"> </t>
    </r>
    <r>
      <rPr>
        <sz val="9"/>
        <rFont val="Wingdings 2"/>
        <family val="1"/>
        <charset val="2"/>
      </rPr>
      <t>£</t>
    </r>
    <r>
      <rPr>
        <sz val="9"/>
        <rFont val="Arial"/>
        <family val="2"/>
      </rPr>
      <t xml:space="preserve"> celibe/nubile</t>
    </r>
  </si>
  <si>
    <r>
      <rPr>
        <sz val="9"/>
        <rFont val="Arial"/>
        <family val="2"/>
      </rPr>
      <t xml:space="preserve"> </t>
    </r>
    <r>
      <rPr>
        <sz val="9"/>
        <rFont val="Wingdings 2"/>
        <family val="1"/>
        <charset val="2"/>
      </rPr>
      <t>£</t>
    </r>
    <r>
      <rPr>
        <sz val="9"/>
        <rFont val="Arial"/>
        <family val="2"/>
      </rPr>
      <t xml:space="preserve"> separato legalmente</t>
    </r>
  </si>
  <si>
    <r>
      <rPr>
        <sz val="9"/>
        <rFont val="Arial"/>
        <family val="2"/>
      </rPr>
      <t xml:space="preserve"> </t>
    </r>
    <r>
      <rPr>
        <sz val="9"/>
        <rFont val="Wingdings 2"/>
        <family val="1"/>
        <charset val="2"/>
      </rPr>
      <t>£</t>
    </r>
    <r>
      <rPr>
        <sz val="9"/>
        <rFont val="Arial"/>
        <family val="2"/>
      </rPr>
      <t xml:space="preserve"> divorziato</t>
    </r>
  </si>
  <si>
    <r>
      <rPr>
        <sz val="9"/>
        <rFont val="Arial"/>
        <family val="2"/>
      </rPr>
      <t xml:space="preserve"> </t>
    </r>
    <r>
      <rPr>
        <sz val="9"/>
        <rFont val="Wingdings 2"/>
        <family val="1"/>
        <charset val="2"/>
      </rPr>
      <t>£</t>
    </r>
    <r>
      <rPr>
        <sz val="9"/>
        <rFont val="Arial"/>
        <family val="2"/>
      </rPr>
      <t xml:space="preserve"> vedovo</t>
    </r>
  </si>
  <si>
    <r>
      <rPr>
        <sz val="9"/>
        <rFont val="Arial"/>
        <family val="2"/>
      </rPr>
      <t xml:space="preserve"> </t>
    </r>
    <r>
      <rPr>
        <sz val="9"/>
        <rFont val="Wingdings 2"/>
        <family val="1"/>
        <charset val="2"/>
      </rPr>
      <t>£</t>
    </r>
    <r>
      <rPr>
        <sz val="9"/>
        <rFont val="Arial"/>
        <family val="2"/>
      </rPr>
      <t xml:space="preserve"> unione domestica sciolta</t>
    </r>
  </si>
  <si>
    <r>
      <rPr>
        <sz val="9"/>
        <rFont val="Arial"/>
        <family val="2"/>
      </rPr>
      <t xml:space="preserve"> </t>
    </r>
    <r>
      <rPr>
        <sz val="9"/>
        <rFont val="Wingdings 2"/>
        <family val="1"/>
        <charset val="2"/>
      </rPr>
      <t>£</t>
    </r>
    <r>
      <rPr>
        <sz val="9"/>
        <rFont val="Arial"/>
        <family val="2"/>
      </rPr>
      <t xml:space="preserve"> sposato dal: ................................................</t>
    </r>
  </si>
  <si>
    <r>
      <rPr>
        <sz val="9"/>
        <rFont val="Arial"/>
        <family val="2"/>
      </rPr>
      <t xml:space="preserve"> </t>
    </r>
    <r>
      <rPr>
        <sz val="9"/>
        <rFont val="Wingdings 2"/>
        <family val="1"/>
        <charset val="2"/>
      </rPr>
      <t>£</t>
    </r>
    <r>
      <rPr>
        <sz val="9"/>
        <rFont val="Arial"/>
        <family val="2"/>
      </rPr>
      <t xml:space="preserve"> unione domestica reg. dal ........................................................</t>
    </r>
  </si>
  <si>
    <t>Professione, titolo:</t>
  </si>
  <si>
    <t>No. di telefono:</t>
  </si>
  <si>
    <t>Indicazioni sull’assicurazione</t>
  </si>
  <si>
    <t>Presso quale cassa di compensazione AVS è affiliato?</t>
  </si>
  <si>
    <t>Decorrenza dell'assicurazione (solo dall'inizio di un mese)</t>
  </si>
  <si>
    <t>Salario annuo da assicurare</t>
  </si>
  <si>
    <t>(È assicurabile al massimo l'ammontare del reddito soggetto ai contributi AVS</t>
  </si>
  <si>
    <t>prima della deduzione dell'ammontare dei propri contributi per la previdenza professionale.)</t>
  </si>
  <si>
    <t>Da quando esercita l'attività da indipendente?</t>
  </si>
  <si>
    <t xml:space="preserve">Si è assicurato facoltativamente nella LPP entro un anno dall'inizio dell'attività
 lucrativa indipendente?
</t>
  </si>
  <si>
    <r>
      <rPr>
        <sz val="9"/>
        <rFont val="Arial"/>
        <family val="2"/>
      </rPr>
      <t xml:space="preserve"> </t>
    </r>
    <r>
      <rPr>
        <sz val="9"/>
        <rFont val="Wingdings 2"/>
        <family val="1"/>
        <charset val="2"/>
      </rPr>
      <t>£</t>
    </r>
    <r>
      <rPr>
        <sz val="9"/>
        <rFont val="Arial"/>
        <family val="2"/>
      </rPr>
      <t xml:space="preserve"> sì</t>
    </r>
  </si>
  <si>
    <r>
      <rPr>
        <sz val="9"/>
        <rFont val="Arial"/>
        <family val="2"/>
      </rPr>
      <t xml:space="preserve"> </t>
    </r>
    <r>
      <rPr>
        <sz val="9"/>
        <rFont val="Wingdings 2"/>
        <family val="1"/>
        <charset val="2"/>
      </rPr>
      <t>£</t>
    </r>
    <r>
      <rPr>
        <sz val="9"/>
        <rFont val="Arial"/>
        <family val="2"/>
      </rPr>
      <t xml:space="preserve"> no</t>
    </r>
  </si>
  <si>
    <t>Ha già un'assicurazione LPP che verrà continuata?</t>
  </si>
  <si>
    <t>Se sì:</t>
  </si>
  <si>
    <r>
      <rPr>
        <sz val="9"/>
        <rFont val="Arial"/>
        <family val="2"/>
      </rPr>
      <t xml:space="preserve"> </t>
    </r>
    <r>
      <rPr>
        <sz val="9"/>
        <rFont val="Wingdings 2"/>
        <family val="1"/>
        <charset val="2"/>
      </rPr>
      <t>£</t>
    </r>
    <r>
      <rPr>
        <sz val="9"/>
        <rFont val="Arial"/>
        <family val="2"/>
      </rPr>
      <t xml:space="preserve"> come indipendente</t>
    </r>
  </si>
  <si>
    <r>
      <rPr>
        <sz val="9"/>
        <rFont val="Arial"/>
        <family val="2"/>
      </rPr>
      <t xml:space="preserve"> </t>
    </r>
    <r>
      <rPr>
        <sz val="9"/>
        <rFont val="Wingdings 2"/>
        <family val="1"/>
        <charset val="2"/>
      </rPr>
      <t>£</t>
    </r>
    <r>
      <rPr>
        <sz val="9"/>
        <rFont val="Arial"/>
        <family val="2"/>
      </rPr>
      <t xml:space="preserve"> come dipendente</t>
    </r>
  </si>
  <si>
    <t>Presso quale istituto di previdenza?   .................................................................................................................................</t>
  </si>
  <si>
    <t>Se no: quando terminò l'ultima occupazione?   ............................................................................................................</t>
  </si>
  <si>
    <t xml:space="preserve">Ha effettuato in passato un prelievo anticipato per la proprietà d’abitazioni?
In caso affermativo allegare la relativa documentazione </t>
  </si>
  <si>
    <t>Ha personale alle Sue dipendenze?</t>
  </si>
  <si>
    <t>È affiliato a un istituto di previdenza per il Suo personale?</t>
  </si>
  <si>
    <t>Se sì, indicare il nome dell’istituto di previdenza</t>
  </si>
  <si>
    <t>Indicazioni sullo stato di salute</t>
  </si>
  <si>
    <t>Dispone della piena capacità al lavoro o al guadagno?</t>
  </si>
  <si>
    <t>Se no: per quale motivo?    ........................................................................................................................................................</t>
  </si>
  <si>
    <t>Percepisce una rendita d'invalidità (in seguito a malattia o infortunio)?</t>
  </si>
  <si>
    <t>Se sì: Grado d’invalidità:    .................................. %</t>
  </si>
  <si>
    <t xml:space="preserve">Presso l'istituto di previdenza precedente era in corso per motivi di salute una riserva
o sono state rifiutate altre richieste di assicurazioni di persone?
</t>
  </si>
  <si>
    <t>Se sì: quando, da parte di chi e perché?</t>
  </si>
  <si>
    <t>È attualmente in buona salute?</t>
  </si>
  <si>
    <t xml:space="preserve">Se no: perché?
</t>
  </si>
  <si>
    <t xml:space="preserve">È attualmente affetto da una malattia o dalle conseguenze di una malattia, di un 
infortunio o di un’infermità congenita?
</t>
  </si>
  <si>
    <t>Se sì: precisare quale malattia/infortunio/infermità congenita e da quando. Nome e indirizzo del medico curante.</t>
  </si>
  <si>
    <t xml:space="preserve">Negli ultimi cinque anni ha dovuto interrompere il Suo lavoro del tutto o in parte 
per motivi di salute per una durata superiore a quattro settimane consecutive?
</t>
  </si>
  <si>
    <t xml:space="preserve">Negli ultimi 10 anni è stato affetto da qualche malattia, ha subito infortuni o operazioni 
oppure è prevista a breve qualche operazione? 
</t>
  </si>
  <si>
    <t>Se sì: precisare quale malattia/infortunio/operazione, data, nome e indirizzo del medico curante.</t>
  </si>
  <si>
    <t>Se sì, precisare quali:</t>
  </si>
  <si>
    <t>Altezza</t>
  </si>
  <si>
    <t>cm</t>
  </si>
  <si>
    <t>Peso</t>
  </si>
  <si>
    <t>Scelta del piano previdenziale</t>
  </si>
  <si>
    <t>Stato</t>
  </si>
  <si>
    <t>Indice salario</t>
  </si>
  <si>
    <t>Risparmio da età</t>
  </si>
  <si>
    <t>Cerchio</t>
  </si>
  <si>
    <t>Membro di un'associazione o organizzazione professionale</t>
  </si>
  <si>
    <t>Presso quale?</t>
  </si>
  <si>
    <t>Un elenco delle associazioni risp. organizzazioni professionali riconosciute, lo trovate su www.pat-bvg.ch &gt; Downloads &gt; Opuscoli</t>
  </si>
  <si>
    <t>Conferma e firma</t>
  </si>
  <si>
    <t>Luogo e data</t>
  </si>
  <si>
    <t>Firma</t>
  </si>
  <si>
    <r>
      <t xml:space="preserve">No. di conteggio </t>
    </r>
    <r>
      <rPr>
        <i/>
        <sz val="9"/>
        <rFont val="Arial"/>
        <family val="2"/>
      </rPr>
      <t>(se a conoscenza)</t>
    </r>
  </si>
  <si>
    <t>Contratto di affiliazione per datori di lavoro</t>
  </si>
  <si>
    <t>Scelta di diversi piani previdenziali - Costituzione di collettività ai sensi dell’art. 1c OPP2</t>
  </si>
  <si>
    <t>Se in base alla categoria di persone (collettività) vengono scelti diversi piani di previdenza, si devono osservare i principi di adeguatezza, collettività, parità di trattamento e pianificazione previdenziale previsti dalle disposizioni di legge. L’appartenenza a una collettività deve essere determinata in base a criteri obiettivi quali in particolare l’anzianità di servizio, la funzione svolta, la posizione gerarchica presso il datore di lavoro, l’età o il livello salariale. Il datore di lavoro si impegna in caso di più collettività di applicare i criteri scelti a tutti i lavoratori interessati. Per eventuali richieste di prestazioni, contestazioni delle autorità, ecc. derivanti dalla mancata osservanza dei principi suddetti risponde esclusivamente il datore di lavoro.</t>
  </si>
  <si>
    <t>I contributi dei datori di lavoro e dei lavoratori vengono addebitati posticipatamente al datore di lavoro; qualora l‘ammontare dei salari superi i CHF 200‘000.–, i contributi vanno corrisposti mensilmente, altrimenti di norma con cadenza trimestrale. Il versamento dei contributi dev’essere effettuato entro 10 giorni dalla scadenza del relativo termine di pagamento mensile risp. trimestrale. In caso di ritardo nel pagamento dei contributi sono dovuti una tassa d’ingiunzione e l’interesse di mora ai sensi del Codice delle obbligazioni (CO). Per i contributi non pagati risp. per le lacune previdenziali createsi di conseguenza risponde esclusivamente il datore di lavoro.</t>
  </si>
  <si>
    <t>Riserve contributi del datore di lavoro</t>
  </si>
  <si>
    <t>I datori di lavoro possono costituire riserve contributi del datore di lavoro volontarie, iscritte e remunerate su un conto separato. Il tasso d’interesse è fissato dal Consiglio di fondazione. Su richiesta scritta oppure in caso di ritardo nei pagamenti, vi si potrà attingere per il regolamento di crediti di contributi dovuti. L’ammontare massimo delle riserve contributi del datore di lavoro è stabilito in conformità alle vigenti disposizioni di legge.</t>
  </si>
  <si>
    <t>Assicurazione collettiva d’indennità giornaliera per malattia</t>
  </si>
  <si>
    <t>Se è stata stipulata un’assicurazione d’indennità giornaliera per malattia, il diritto alle prestazioni di invalidità può essere differito fino all’esaurimento del diritto alle indennità giornaliere, a condizione che:
a. la persona assicurata riceva al posto del salario intero delle indennità giornaliere dell’assicurazione malattia pari ad almeno l’80 per cento del salario di cui è privata, e
b. l'assicurazione d’indennità giornaliera sia stata finanziata per almeno la metà dal datore di lavoro.</t>
  </si>
  <si>
    <t>* Se viene scelto il termine di attesa di 720 giorni per le prestazioni di invalidità, il datore di lavoro attesta che
– l'assicurazione d’indennità giornaliera per malattia viene finanziata per almeno la metà dal datore di lavoro e
– l’indennità giornaliera per malattia ammonta per l’intera durata ad almeno l’80% del salario di cui si viene privati.</t>
  </si>
  <si>
    <t>Recapito</t>
  </si>
  <si>
    <t>Nome/cognome del datore di lavoro</t>
  </si>
  <si>
    <t>Indirizzo</t>
  </si>
  <si>
    <t>No. di telefono</t>
  </si>
  <si>
    <t>E-mail</t>
  </si>
  <si>
    <t>Decorrenza dell'affiliazione:</t>
  </si>
  <si>
    <t>Numero di persone ass.</t>
  </si>
  <si>
    <t>Si prega di compilare un formulario d’iscrizione per ogni persona da assicurare.</t>
  </si>
  <si>
    <t>Cognome, nome</t>
  </si>
  <si>
    <t>Data nascita</t>
  </si>
  <si>
    <t>Tipo di prestazione</t>
  </si>
  <si>
    <t>Importo rendita annua</t>
  </si>
  <si>
    <t>Istituto di previdenza precedente:</t>
  </si>
  <si>
    <t>Referente</t>
  </si>
  <si>
    <t>Cassa di compensazione:</t>
  </si>
  <si>
    <r>
      <rPr>
        <sz val="9"/>
        <rFont val="Arial"/>
        <family val="2"/>
      </rPr>
      <t xml:space="preserve"> </t>
    </r>
    <r>
      <rPr>
        <sz val="9"/>
        <rFont val="Wingdings 2"/>
        <family val="1"/>
        <charset val="2"/>
      </rPr>
      <t>£</t>
    </r>
    <r>
      <rPr>
        <i/>
        <sz val="9"/>
        <rFont val="Arial"/>
        <family val="2"/>
      </rPr>
      <t xml:space="preserve"> medisuisse</t>
    </r>
  </si>
  <si>
    <r>
      <t xml:space="preserve"> </t>
    </r>
    <r>
      <rPr>
        <sz val="9"/>
        <rFont val="Wingdings 2"/>
        <family val="1"/>
        <charset val="2"/>
      </rPr>
      <t>£</t>
    </r>
    <r>
      <rPr>
        <sz val="9"/>
        <rFont val="Arial"/>
        <family val="2"/>
      </rPr>
      <t xml:space="preserve"> .......................................................................................................................</t>
    </r>
  </si>
  <si>
    <r>
      <t>Criterio in caso di diverse categorie di persone (PK)</t>
    </r>
    <r>
      <rPr>
        <sz val="9"/>
        <rFont val="Arial"/>
        <family val="2"/>
      </rPr>
      <t xml:space="preserve">
(cfr. punto 3, p.es. quadri/collaboratori, impiegati a tempo pieno/parziale, livello salariale)</t>
    </r>
  </si>
  <si>
    <t>Categorie di persone 1</t>
  </si>
  <si>
    <t>Categorie di persone 2</t>
  </si>
  <si>
    <r>
      <t>Importante:</t>
    </r>
    <r>
      <rPr>
        <sz val="9"/>
        <rFont val="Arial"/>
        <family val="2"/>
      </rPr>
      <t xml:space="preserve"> In caso di diverse categorie di persone si prega di allegare il foglio aggiuntivo con il secondo piano scelto</t>
    </r>
  </si>
  <si>
    <t>Conferma, firme</t>
  </si>
  <si>
    <t xml:space="preserve">È indispensabile il consenso degli assicurati o dei rappresentanti scelti dagli assicurati. Il contratto di affiliazione dev’essere pertanto firmato anche dagli assicurati o dai rappresentanti scelti dagli assicurati.
Con le firme confermate, di aver allegato un formulario d’iscrizione per tutte le persone da assicurare nonché elencato sotto il punto 9 tutte le persone inabili al lavoro o inabili al guadagno in data di affiliazione. </t>
  </si>
  <si>
    <t>Luogo</t>
  </si>
  <si>
    <t>Data</t>
  </si>
  <si>
    <t>Per il datore di lavoro:</t>
  </si>
  <si>
    <t>Rappresentante della/e persona/e:</t>
  </si>
  <si>
    <r>
      <t xml:space="preserve">No de décompte </t>
    </r>
    <r>
      <rPr>
        <i/>
        <sz val="9"/>
        <rFont val="Arial"/>
        <family val="2"/>
      </rPr>
      <t>(si connu):</t>
    </r>
  </si>
  <si>
    <t>Contrat d’affiliation pour employeur</t>
  </si>
  <si>
    <t>Choix de différents plans de prévoyance – Constitution de collectifs au sens de l’art. 1c OPP2</t>
  </si>
  <si>
    <t>Si des plans de prévoyance différents sont choisis en fonction de différentes catégories de personnes (collectifs), les principes de l’adéquation, de la collectivité, de l’égalité de traitement et de planification doivent être respectés conformément aux dispositions légales. L’appartenance à un collectif doit être déterminée sur la base de critères objectifs tels que, notamment, le nombre d’années de service, la fonction exercée, la situation hiérarchique chez l’employeur, l’âge ou le niveau de salaire. S’il existe plusieurs collectifs, l’employeur s’engage à appliquer les critères choisis à l’ensemble des salariés concernés. L’emplo-yeur répond seul des demandes de prestations, réclamations de la part des autorités, etc., qui viendraient à découler de la violation des principes susmentionnés.</t>
  </si>
  <si>
    <t>Les cotisations de l’employeur et des salariés sont facturées à terme échu à l’employeur; les cotisations sont dues tous les mois lorsque la somme des salaires dépasse CHF 200’000.–, si tel n’est pas le cas, elles sont généralement dues chaque trimestre. Les cotisations sont exigibles 10 jours après la fin de la période de versement, mensuelle ou trimestrielle. Des frais de sommation et des intérêts moratoires selon le CO sont dus pour tout versement tardif. Seul l’employeur répond des cotisations qui n’auraient pas été versées et des lacunes de couverture en découlant.</t>
  </si>
  <si>
    <t>Réserves de cotisations d’employeur</t>
  </si>
  <si>
    <t>L’employeur peut verser de son plein gré des contributions sur un compte séparé de réserves de cotisations d’employeur, ce compte porte intérêt de manière séparée. Le Conseil de fondation décide du taux d’intérêt. Les réserves de cotisation d’employeur peuvent être imputées aux créances de cotisations sur demande écrite ou en cas de retard de paiement. Le montant maximal des réserves découle de la législation.</t>
  </si>
  <si>
    <t>Assurance indemnités journalières maladie collective</t>
  </si>
  <si>
    <t>S’il existe une assurance indemnités journalières maladie, le droit aux prestations d’invalidité peut être repoussé jusqu’à la fin du versement des indemnités journalières si:
a) Les indemnités s’élèvent à 80% au moins du salaire perdu et 
b) l’assurance indemnités journalières maladie est cofinancée à 50% au moins par l’employeur.</t>
  </si>
  <si>
    <t>* S’il est choisi un délai d’attente pour les prestations d'invalidité de 720 jours, l’employeur confirme
– qu’il finance au moins pour moitié l’assurance indemnités journalières maladie et
– que les indemnités journalières maladie atteignent au moins 80% du salaire perdu durant l’intégralité de la période en cause.</t>
  </si>
  <si>
    <t>Nom complet de l’employeur</t>
  </si>
  <si>
    <t>Personne responsable</t>
  </si>
  <si>
    <t>No téléphone</t>
  </si>
  <si>
    <t>Affiliation à partir du</t>
  </si>
  <si>
    <t>Nombre de personnes assurées</t>
  </si>
  <si>
    <t>Nous vous remercions de remplir un formulaire d’inscription pour chaque personne à assurer.</t>
  </si>
  <si>
    <t>Date de naiss.</t>
  </si>
  <si>
    <t>Type de prestation</t>
  </si>
  <si>
    <t>Montant de la rente/an</t>
  </si>
  <si>
    <t>Institution de prévoyance précédente:</t>
  </si>
  <si>
    <t>Personne de contact</t>
  </si>
  <si>
    <t>Caisse AVS:</t>
  </si>
  <si>
    <r>
      <t xml:space="preserve"> </t>
    </r>
    <r>
      <rPr>
        <sz val="9"/>
        <rFont val="Wingdings 2"/>
        <family val="1"/>
        <charset val="2"/>
      </rPr>
      <t>£</t>
    </r>
    <r>
      <rPr>
        <i/>
        <sz val="9"/>
        <rFont val="Arial"/>
        <family val="2"/>
      </rPr>
      <t xml:space="preserve"> medisuisse</t>
    </r>
  </si>
  <si>
    <r>
      <t>Critère en cas de différents cercles de personnes (CP)</t>
    </r>
    <r>
      <rPr>
        <sz val="9"/>
        <rFont val="Arial"/>
        <family val="2"/>
      </rPr>
      <t xml:space="preserve">
(cf. point 3, par ex. cadres/collaborateurs, employés à temps complet/partiel, montant des salaires)</t>
    </r>
  </si>
  <si>
    <t>Cercle de personnes 1</t>
  </si>
  <si>
    <t>Cercle de personnes 2</t>
  </si>
  <si>
    <r>
      <t>Important:</t>
    </r>
    <r>
      <rPr>
        <sz val="9"/>
        <rFont val="Arial"/>
        <family val="2"/>
      </rPr>
      <t xml:space="preserve"> en cas de critères différents, veuillez également joindre la feuille avec le plan du cercle de personne 2.</t>
    </r>
  </si>
  <si>
    <t>n° de plan</t>
  </si>
  <si>
    <t>Confirmation et signatures</t>
  </si>
  <si>
    <t>L’accord des assurés ou de leur représentant est absolument nécessaire. Le contrat d’affiliation doit donc être signé par un représentant des assurés au moins. Par les signatures, vous confirmez avoir joint un formulaire d'inscription pour toutes les personnes à assurer et avoir mentionné au point 9 toute personne étant en incapacité de travail ou de gain à la date de l'affi-liation.</t>
  </si>
  <si>
    <t>Lieu</t>
  </si>
  <si>
    <t>Date</t>
  </si>
  <si>
    <t>Pour l'employeur:</t>
  </si>
  <si>
    <t>Représentant des assurés:</t>
  </si>
  <si>
    <t>Werden je nach Personenkategorie (Kollektiv) verschiedene Vorsorgepläne gewählt, sind die Grundsätze der Angemessenheit, der Kollektivität, der Gleichbehandlung und der Planmässigkeit gemäss den gesetzlichen Bestimmungen zu beachten. Die Zugehörigkeit zu einem Kollektiv muss sich nach objektiven Kriterien richten wie insbesondere nach der Anzahl der Dienstjahre, der ausgeübten Funktion, der hierarchischen Stellung beim Arbeitgeber, dem Alter oder der Lohnhöhe. Der Arbeitgeber verpflichtet sich, bei mehreren Kollektiven die gewählten Kriterien für alle betroffenen Arbeitnehmer anzuwenden. Für Leistungs-forderungen, behördliche Beanstandungen etc., die aus der Missachtung obiger Grundsätze entstehen, haftet der Arbeitgeber alleine.</t>
  </si>
  <si>
    <t>N. d‘identification entreprises (IDE)</t>
  </si>
  <si>
    <t>n. d’identificazione imprese (IDI)</t>
  </si>
  <si>
    <t>eMail:</t>
  </si>
  <si>
    <t xml:space="preserve">Wenn ja: </t>
  </si>
  <si>
    <t>Grund:</t>
  </si>
  <si>
    <t>von wann bis wann</t>
  </si>
  <si>
    <t>geheilt</t>
  </si>
  <si>
    <t xml:space="preserve"> .........................................................................................</t>
  </si>
  <si>
    <t xml:space="preserve"> ........................................</t>
  </si>
  <si>
    <t xml:space="preserve"> ...............................</t>
  </si>
  <si>
    <t>Adresse e-mail:</t>
  </si>
  <si>
    <t>Si oui,</t>
  </si>
  <si>
    <t>Pour quel motif?</t>
  </si>
  <si>
    <t>de… à ….</t>
  </si>
  <si>
    <t>guéri</t>
  </si>
  <si>
    <t xml:space="preserve"> ........................................................................................</t>
  </si>
  <si>
    <t xml:space="preserve"> .................................</t>
  </si>
  <si>
    <t>Indirizzo e-Mail:</t>
  </si>
  <si>
    <t>Per quale motivo?</t>
  </si>
  <si>
    <t>da quando a quando</t>
  </si>
  <si>
    <t>guarito</t>
  </si>
  <si>
    <t>A8  ist nicht möglich</t>
  </si>
  <si>
    <t>A9  ist nicht möglich</t>
  </si>
  <si>
    <t>A8 n'est pas possible</t>
  </si>
  <si>
    <t>A9 n'est pas possible</t>
  </si>
  <si>
    <t>A8 non è possibile</t>
  </si>
  <si>
    <t>A9 non è possibile</t>
  </si>
  <si>
    <t>Mutationsmeldung für Selbständigerwerbende</t>
  </si>
  <si>
    <t>Lohnänderung</t>
  </si>
  <si>
    <t>Neuer Jahreslohn</t>
  </si>
  <si>
    <t>CHF</t>
  </si>
  <si>
    <t>(Versicherbar ist maximal das AHV-pflichtige Einkommen vor Abzug</t>
  </si>
  <si>
    <t>der eigenen Beiträge an die berufliche Vorsorge)</t>
  </si>
  <si>
    <t>gültig ab</t>
  </si>
  <si>
    <t>Änderung per</t>
  </si>
  <si>
    <t>Wartefrist für Invalidenleistungen</t>
  </si>
  <si>
    <t>Zivilstandsänderung</t>
  </si>
  <si>
    <t>Zivilstand</t>
  </si>
  <si>
    <t>verheiratet</t>
  </si>
  <si>
    <t>eing. Partnerschaft</t>
  </si>
  <si>
    <t>geschieden</t>
  </si>
  <si>
    <t></t>
  </si>
  <si>
    <t>verwitwet</t>
  </si>
  <si>
    <t>aufgel. Partnerschaft</t>
  </si>
  <si>
    <t>Name neu</t>
  </si>
  <si>
    <t xml:space="preserve"> ............................................................................</t>
  </si>
  <si>
    <t>Bei Namensänderung bitte Kopie eines amtlichen Dokuments beilegen.</t>
  </si>
  <si>
    <t>Adressänderung</t>
  </si>
  <si>
    <t>Die Änderung betrifft:</t>
  </si>
  <si>
    <t>Praxisadresse</t>
  </si>
  <si>
    <t>Privatadresse</t>
  </si>
  <si>
    <t>Korrespondenzadresse</t>
  </si>
  <si>
    <t>Vertreteradresse</t>
  </si>
  <si>
    <t>gültig für</t>
  </si>
  <si>
    <t>nur BVG-Korrespondenz</t>
  </si>
  <si>
    <t>Strasse</t>
  </si>
  <si>
    <t>PLZ, Ort</t>
  </si>
  <si>
    <t>E-Mail-Adresse</t>
  </si>
  <si>
    <t>Nur auszufüllen, wenn Planwechsel / Lohnerhöhung zu bedeutend höheren Leistungen bei Invalidität oder Tod führt:</t>
  </si>
  <si>
    <t>Versicherter Lohn:</t>
  </si>
  <si>
    <t>Eintrittsschwelle:</t>
  </si>
  <si>
    <t>Plafond:</t>
  </si>
  <si>
    <t>Ordentliche Sparbeiträge (A):</t>
  </si>
  <si>
    <t>Zusatzsparen (ZS):</t>
  </si>
  <si>
    <t>Invalidenrente:</t>
  </si>
  <si>
    <t>Todesfallkapital:</t>
  </si>
  <si>
    <t>Wenn nein, Grund?</t>
  </si>
  <si>
    <t>Beziehen Sie eine Invalidenrente</t>
  </si>
  <si>
    <t>ja, Invaliditätsgrad:  …………….%</t>
  </si>
  <si>
    <t>Haben Sie die Arbeit in den letzten fünf Jahren aus gesundheitlichen Gründen für mehr als vier aufeinanderfolgende Wochen (ganz oder teilweise) unterbrechen müssen?</t>
  </si>
  <si>
    <t>Grund</t>
  </si>
  <si>
    <t xml:space="preserve"> ........................................................................</t>
  </si>
  <si>
    <t xml:space="preserve"> ...........................................</t>
  </si>
  <si>
    <t>Leiden Sie gegenwärtig an einer Krankheit oder an den Folgen einer Krankheit oder eines Unfalls?</t>
  </si>
  <si>
    <t>Wenn ja, an welcher/n?</t>
  </si>
  <si>
    <t xml:space="preserve"> .......................................................................................................................................................................................</t>
  </si>
  <si>
    <t>Die Richtigkeit und Vollständigkeit der Angaben bescheinigt:</t>
  </si>
  <si>
    <r>
      <t xml:space="preserve">Abrechnungs-Nr. </t>
    </r>
    <r>
      <rPr>
        <i/>
        <sz val="11"/>
        <rFont val="Arial"/>
        <family val="2"/>
      </rPr>
      <t>(sofern bekannt):</t>
    </r>
  </si>
  <si>
    <t xml:space="preserve"> .....................................</t>
  </si>
  <si>
    <t>sämtliche Korresp. (AHV+BVG)</t>
  </si>
  <si>
    <t xml:space="preserve"> ............................................................................................................</t>
  </si>
  <si>
    <t>ja             </t>
  </si>
  <si>
    <t>720 Tage (Die PAT-BVG zahlt unabhängig voneiner Kranken- oder</t>
  </si>
  <si>
    <t>Unfalltaggeldversicherung allfällige Invalidenleistungen frühestens</t>
  </si>
  <si>
    <t>ab dem 721. Tag)</t>
  </si>
  <si>
    <t>Sind Sie voll arbeits- bzw. erwerbsfähig?              </t>
  </si>
  <si>
    <t>Alter / Geburtsdatum</t>
  </si>
  <si>
    <t>Âge / Date de naissance</t>
  </si>
  <si>
    <t xml:space="preserve">Età / Data di nascita </t>
  </si>
  <si>
    <t>AHV-Nummer / Name / Vorname</t>
  </si>
  <si>
    <t>No AVS / Prénom / nom</t>
  </si>
  <si>
    <t>No AVS / Nome / cognome</t>
  </si>
  <si>
    <t>VERSICHERTE LEISTUNGEN</t>
  </si>
  <si>
    <t>PRESTATIONS ASSURÉES</t>
  </si>
  <si>
    <t>PRESTAZIONI ASSICURATE</t>
  </si>
  <si>
    <t>Geburtsdatum/Alter</t>
  </si>
  <si>
    <t>Date de naissance/âge</t>
  </si>
  <si>
    <t>Data di nascita/età</t>
  </si>
  <si>
    <t>vorhandenes Altersguthaben</t>
  </si>
  <si>
    <t>Achtung! Die Angemessenheit ist bei dieser Planwahl nicht erfüllt! Bitte Plan anpassen! (Lohn auf mind. 110'000 erhöhen oder Koodinationsabzug gem. BVG auswählen)</t>
  </si>
  <si>
    <t>Attention! L'adéquation n'est pas respectée avec ce choix de plan! Veuillez ajuster votre plan! (Augmenter le salaire à au moins 110 000 ou choisir un montant de coordination selon LPP)</t>
  </si>
  <si>
    <t>Attenzione! Adeguatezza non è rispettato con questa scelta del piano! Si prega di aggiustare il piano! (Aumentare il salario ad almeno 110.000 o selezionare la deduzione di coordinamento secondo la LPP).</t>
  </si>
  <si>
    <t>Achtung! Die Angemessenheit ist bei dieser Planwahl nicht erfüllt! Bitte Plan anpassen! (Lohn auf mind. 146'000 erhöhen oder Koodinationsabzug gem. BVG auswählen)</t>
  </si>
  <si>
    <t>Attention! L'adéquation n'est pas respectée avec ce choix de plan! Veuillez ajuster votre plan! (Augmenter le salaire à au moins 146 000 ou choisir un montant de coordination selon LPP)</t>
  </si>
  <si>
    <t>Attenzione! Adeguatezza non è rispettato con questa scelta del piano! Si prega di aggiustare il piano! (Aumentare il salario ad almeno 146.000 o selezionare la deduzione di coordinamento secondo la LPP).</t>
  </si>
  <si>
    <t>Achtung! Die Angemessenheit ist bei dieser Planwahl nicht erfüllt! Bitte Plan anpassen! (Lohn auf mind. 130'000 erhöhen oder Koodinationsabzug gem. BVG auswählen)</t>
  </si>
  <si>
    <t>Attention! L'adéquation n'est pas respectée avec ce choix de plan! Veuillez ajuster votre plan! (Augmenter le salaire à au moins 130 000 ou choisir un montant de coordination selon LPP)</t>
  </si>
  <si>
    <t>Attenzione! Adeguatezza non è rispettato con questa scelta del piano! Si prega di aggiustare il piano! (Aumentare il salario ad almeno 130.000 o selezionare la deduzione di coordinamento secondo la LPP).</t>
  </si>
  <si>
    <t>SE&gt;60</t>
  </si>
  <si>
    <t>Ind&gt;60</t>
  </si>
  <si>
    <t>Die Alterskinderrente berechnet sich gemäss BVG.</t>
  </si>
  <si>
    <t>60 oder älter</t>
  </si>
  <si>
    <t>AN/SE mit BVG-Alter 50/60 oder älter</t>
  </si>
  <si>
    <t>Sparmodule 1-9</t>
  </si>
  <si>
    <t>G4</t>
  </si>
  <si>
    <t>60+</t>
  </si>
  <si>
    <t>nach 1.1.2019</t>
  </si>
  <si>
    <t>4. ab 2019 SE 60+</t>
  </si>
  <si>
    <t>2019 ff</t>
  </si>
  <si>
    <t>SE 60+ (ab 1.1.2019)</t>
  </si>
  <si>
    <t>Umwandlungssatz 1=normal / 5= SE Eintritt ab x/y50 / 6=SE Eintritt ab 60 (ab 1.1.2019)</t>
  </si>
  <si>
    <t>Arbeitnehmer/in</t>
  </si>
  <si>
    <t>Finanzierung - Anteil Arbeitnehmer</t>
  </si>
  <si>
    <t>(maximal 50%)</t>
  </si>
  <si>
    <t xml:space="preserve">Part cotisations assuré(e) </t>
  </si>
  <si>
    <t>(au max. 50%)</t>
  </si>
  <si>
    <t>(massimo il 50%)</t>
  </si>
  <si>
    <t>Anteil Beiträge AN</t>
  </si>
  <si>
    <t/>
  </si>
  <si>
    <t>Avis de mutation pour indépendants</t>
  </si>
  <si>
    <r>
      <t>No de décompte</t>
    </r>
    <r>
      <rPr>
        <i/>
        <sz val="11"/>
        <rFont val="Arial"/>
        <family val="2"/>
      </rPr>
      <t>:</t>
    </r>
  </si>
  <si>
    <t>No AVS</t>
  </si>
  <si>
    <t>Modification du salaire</t>
  </si>
  <si>
    <t>Nouveau salaire annuel</t>
  </si>
  <si>
    <t>valable dès</t>
  </si>
  <si>
    <t>Modification au</t>
  </si>
  <si>
    <t>Salaire assuré:</t>
  </si>
  <si>
    <t>Plafond du salaire assuré:</t>
  </si>
  <si>
    <t>Cotisations d'épargne (A):</t>
  </si>
  <si>
    <t>Epargne supplémentaire (ZS):</t>
  </si>
  <si>
    <t>Rente d'invalidité:</t>
  </si>
  <si>
    <t>Capital de décès:</t>
  </si>
  <si>
    <t>Modification du délai d’attente pour la rente d’invalidité</t>
  </si>
  <si>
    <t>720 jours (la PAT-LPP verse d'éventuelles prestations d'invalidité,</t>
  </si>
  <si>
    <t xml:space="preserve"> indépendamment d'une assurances indemnités journalières maladie </t>
  </si>
  <si>
    <t>ou accident, au plus tôt à partir du 721ème jour</t>
  </si>
  <si>
    <t>Modification de l’état civil</t>
  </si>
  <si>
    <t>Etat civil</t>
  </si>
  <si>
    <t>marié</t>
  </si>
  <si>
    <t>partenariat enregistré</t>
  </si>
  <si>
    <t>divorcé</t>
  </si>
  <si>
    <t>veuf</t>
  </si>
  <si>
    <t>partenariat dissout</t>
  </si>
  <si>
    <t>dès le</t>
  </si>
  <si>
    <t>Nouveau nom</t>
  </si>
  <si>
    <t>......................................................</t>
  </si>
  <si>
    <t>En cas de changement de nom, veuillez joindre une copie du document officiel.</t>
  </si>
  <si>
    <t>Modification de l’adresse</t>
  </si>
  <si>
    <t>La modification concerne:</t>
  </si>
  <si>
    <t>adresse du cabinet</t>
  </si>
  <si>
    <t>adresse privée</t>
  </si>
  <si>
    <t>adresse pour le courrier</t>
  </si>
  <si>
    <t>adresse du représentant</t>
  </si>
  <si>
    <t>tout le courrier (AVS et LPP)</t>
  </si>
  <si>
    <t>seulement courrier LPP</t>
  </si>
  <si>
    <t>valable pour</t>
  </si>
  <si>
    <t>Rue</t>
  </si>
  <si>
    <t>NPA, lieu</t>
  </si>
  <si>
    <t>Adresse e-mail</t>
  </si>
  <si>
    <t>Ne remplir que si le changement de plan / l’augmentation du salaire entraîne des prestations bien plus
élevées en cas d’invalidité ou de décès:</t>
  </si>
  <si>
    <t xml:space="preserve">Si non, pour quel motif? </t>
  </si>
  <si>
    <t>oui, degré d'invalidité:  …………….%</t>
  </si>
  <si>
    <t>Avez vous dû interrompre votre travail (complètement ou partiellement) pendant plus de quatre semaines consécutives au cours des cinq dernières années ?</t>
  </si>
  <si>
    <t>Touchez-vous une rente d’invalidité ?</t>
  </si>
  <si>
    <t>Etes-vous entièrement apte au travail ?               </t>
  </si>
  <si>
    <t>Si oui:</t>
  </si>
  <si>
    <t>Pour quel motif</t>
  </si>
  <si>
    <t>de … à ….</t>
  </si>
  <si>
    <t>oui           </t>
  </si>
  <si>
    <t>Souffrez-vous actuellement d’une maladie ou des suites d’une maladie ou d’un accident ou d’une infirmité congénitale ?</t>
  </si>
  <si>
    <t>La personne soussignée confirme, qu’elle a intégralement complété ce formulaire et de manière véridique:</t>
  </si>
  <si>
    <t>Quote-part cotis. salariés</t>
  </si>
  <si>
    <t>Quota dei contr. dipendenti</t>
  </si>
  <si>
    <t>Mit diesem Vertrag überträgt der Arbeitgeber der Personalvorsorgestiftung der Ärzte und Tierärzte PAT-BVG die Durchführung der beruflichen Vorsorge gemäss Artikel 48 des Bundesgesetzes über die berufliche Alters-, Hinterlassenen- und Invaliden-vorsorge (BVG). Die PAT-BVG ist im Register für die berufliche Vorsorge unter der Nummer BE 01.0059 registriert. Integrierende Bestandteile dieses Anschlussvertrages sind die von der PAT-BVG erlassenen Reglemente und Ausführungsbestimmungen. Voraussetzung für das Inkrafttreten dieses Anschlussvertrags ist die definitive Aufnahmebestätigung der PAT-BVG.
Der Arbeitgeber bestätigt, dass sein Personal das Einverständnis gemäss Art. 11 BVG erteilt hat.</t>
  </si>
  <si>
    <t>Die Arbeitgeber- und Arbeitnehmerbeiträge werden beim Arbeitgeber nachschüssig erhoben; bei einer Lohnsumme von über CHF 200‘000.– sind sie monatlich, ansonsten in der Regel vierteljährlich zu bezahlen. Die Beiträge sind jeweils innerhalb von 10 Tagen nach Ablauf der ein- bzw. dreimonatigen Zahlungsperiode zu entrichten. Bei verspäteter Bezahlung sind eine Mahngebühr sowie ein Verzugszins gemäss OR geschuldet. Für nicht bezahlte Beiträge bzw. daraus entstehende Deckungslücken haftet ausschliesslich der Arbeitgeber.</t>
  </si>
  <si>
    <t>SE: Eintritt ab 60</t>
  </si>
  <si>
    <t>indép./ass. 60 ou plus</t>
  </si>
  <si>
    <t>indip./ass. 60 o più</t>
  </si>
  <si>
    <t>Dal 1° gennaio 2021 la conversione in rendita di vecchiaia è possibile fino ad un avere di vecchiaia disponibile di CHF 1,5 milioni (limite di pensionamento). L’avere di vecchiaia che supera questo montante deve essere riscosso in forma di capitale.</t>
  </si>
  <si>
    <t>confirmation définitive de l'admission seront effectuées exclusivement par la PAT-LPP.</t>
  </si>
  <si>
    <t>conferma definitiva dell'ammissione avviene esclusivamente tramite la PAT-LPP.</t>
  </si>
  <si>
    <t xml:space="preserve">Soltanto i calcoli della PAT-BVG sono vincolanti. La valutazione dei rischi e la </t>
  </si>
  <si>
    <t xml:space="preserve">Seuls les calculs de la PAT-BVG font foi. L'évaluation des risques ainsi que la </t>
  </si>
  <si>
    <r>
      <t xml:space="preserve">Die Umwandlungssätze (UWS) sind im Anhang II zum Vorsorgereglement definiert </t>
    </r>
    <r>
      <rPr>
        <sz val="9"/>
        <rFont val="Arial"/>
        <family val="2"/>
      </rPr>
      <t>(siehe http://www.pat-bvg.ch)</t>
    </r>
    <r>
      <rPr>
        <sz val="11"/>
        <rFont val="Arial"/>
        <family val="2"/>
      </rPr>
      <t>.</t>
    </r>
  </si>
  <si>
    <t>Les taux de conversion (TC) sont définis dans l'Annexe II du règlement de prévoyance (voir www.pat-bvg.ch).</t>
  </si>
  <si>
    <t>I tassi di conversione (TC) sono definiti nell'allegato II al regolamento di previdenza (vedi www.pat-bvg.ch).</t>
  </si>
  <si>
    <t>Der Anschlussvertrag kann von den Vertragsparteien nach Ablauf eines vollen Versicherungsjahres unter Einhaltung einer Kündigungsfrist von 6 Monaten auf das Ende eines Versicherungsjahres schriftlich gekündigt werden. Die Kündigung durch den Arbeitgeber ist rechtsgültig, wenn
a) das Personal vorgängig sein Einverständnis gemäss Art. 11 BVG erteilt hat, und 
b) die neue Vorsorgeeinrichtung die Übernahme sämtlicher versicherten, rentenberechtigten oder voraussichtlich renten-berechtigten Personen unter Wahrung der wohlerworbenen Rechte bestätigt. 
PAT-BVG kann zudem diesen Anschlussvertrag nach der dritten Zahlungsaufforderung für ausstehende Beiträge mit sofortiger Wirkung auflösen. Damit erlischt der Vorsorgeschutz. Die Versicherten werden durch PAT-BVG orientiert. 
Sind die Voraussetzungen für eine Teilliquidation erfüllt, werden Überschüsse beziehungsweise Fehlbeträge verrechnet. Die Kriterien sind in einem Reglement festgehalten.</t>
  </si>
  <si>
    <t>Geburtsdatum, massgebendes Alter im Jahr der Berechnung:</t>
  </si>
  <si>
    <t>Personenkreis-Nr.:</t>
  </si>
  <si>
    <t>Der zulässige Einkaufsbetrag berechnet sich wie folgt:</t>
  </si>
  <si>
    <t>Reglementarisch mögliches Altersguthaben (vers. Einkommen x Einkaufsfaktor):</t>
  </si>
  <si>
    <t>./. Altersguthaben am 31. Dezember des Vorjahres (gemäss Ausweis):</t>
  </si>
  <si>
    <t xml:space="preserve">./. geleistete Einkaufszahlungen im laufenden Jahr inkl. Zins bis Ende Jahr:                                </t>
  </si>
  <si>
    <t>./. dieses Jahr eingebrachte Freizügigkeitsleistung inkl. Zins bis Ende Jahr:</t>
  </si>
  <si>
    <t>Reglementarisch verbleibender Einkaufsbetrag</t>
  </si>
  <si>
    <t>Einkaufsberechnung</t>
  </si>
  <si>
    <t>Soll vorhandenes Altersguthaben gemäss Offerte übernommen werden?</t>
  </si>
  <si>
    <t>Ja</t>
  </si>
  <si>
    <t>Nein</t>
  </si>
  <si>
    <t xml:space="preserve">Soll der Übereinkauf auf der Offerte ausgewiesen werden? </t>
  </si>
  <si>
    <t>UID-Nr. (Unternehmens-Identifikationsnr.)</t>
  </si>
  <si>
    <t>.....................................................</t>
  </si>
  <si>
    <r>
      <rPr>
        <sz val="9"/>
        <rFont val="Arial"/>
        <family val="2"/>
      </rPr>
      <t xml:space="preserve"> </t>
    </r>
    <r>
      <rPr>
        <sz val="9"/>
        <rFont val="Wingdings 2"/>
        <family val="1"/>
        <charset val="2"/>
      </rPr>
      <t>£</t>
    </r>
    <r>
      <rPr>
        <sz val="9"/>
        <rFont val="Arial"/>
        <family val="2"/>
      </rPr>
      <t xml:space="preserve"> Ja, bitte zwingend Abrechnungsnummer angeben</t>
    </r>
  </si>
  <si>
    <r>
      <t xml:space="preserve">      </t>
    </r>
    <r>
      <rPr>
        <i/>
        <sz val="9"/>
        <rFont val="Arial"/>
        <family val="2"/>
      </rPr>
      <t>...........................................</t>
    </r>
  </si>
  <si>
    <r>
      <rPr>
        <sz val="9"/>
        <rFont val="Arial"/>
        <family val="2"/>
      </rPr>
      <t xml:space="preserve"> </t>
    </r>
    <r>
      <rPr>
        <sz val="9"/>
        <rFont val="Wingdings 2"/>
        <family val="1"/>
        <charset val="2"/>
      </rPr>
      <t>£</t>
    </r>
    <r>
      <rPr>
        <sz val="9"/>
        <rFont val="Arial"/>
        <family val="2"/>
      </rPr>
      <t xml:space="preserve"> Anmeldung medisuisse wird noch eingereicht. </t>
    </r>
  </si>
  <si>
    <r>
      <t xml:space="preserve">      </t>
    </r>
    <r>
      <rPr>
        <i/>
        <sz val="9"/>
        <rFont val="Arial"/>
        <family val="2"/>
      </rPr>
      <t>.............................................................................</t>
    </r>
  </si>
  <si>
    <r>
      <rPr>
        <sz val="9"/>
        <rFont val="Arial"/>
        <family val="2"/>
      </rPr>
      <t xml:space="preserve"> </t>
    </r>
    <r>
      <rPr>
        <sz val="9"/>
        <rFont val="Wingdings 2"/>
        <family val="1"/>
        <charset val="2"/>
      </rPr>
      <t>£</t>
    </r>
    <r>
      <rPr>
        <sz val="9"/>
        <rFont val="Arial"/>
        <family val="2"/>
      </rPr>
      <t xml:space="preserve"> Nein, bitte die zuständige AHV-Ausgleichsk. angeben</t>
    </r>
  </si>
  <si>
    <t xml:space="preserve">         Formulare für die Anmeldung finden Sie unter 
         www.medisuisse.ch &gt; Anmeldung/Abmeldung</t>
  </si>
  <si>
    <t>UID-Nr. (Unternehmens-Identifikat.)</t>
  </si>
  <si>
    <t>Sind Sie bei der AHV-Ausgleichskasse medisuisse angeschlossen?</t>
  </si>
  <si>
    <r>
      <t xml:space="preserve"> </t>
    </r>
    <r>
      <rPr>
        <sz val="9"/>
        <rFont val="Wingdings 2"/>
        <family val="1"/>
        <charset val="2"/>
      </rPr>
      <t>£</t>
    </r>
    <r>
      <rPr>
        <sz val="9"/>
        <rFont val="Arial"/>
        <family val="2"/>
      </rPr>
      <t xml:space="preserve"> Anmeldung medisuisse wird noch eingereicht</t>
    </r>
  </si>
  <si>
    <t xml:space="preserve">      Formulare für die Anmeldung finden Sie unter www.medisuisse.ch &gt; Anmeldung/Abmeldung</t>
  </si>
  <si>
    <r>
      <t xml:space="preserve"> </t>
    </r>
    <r>
      <rPr>
        <sz val="9"/>
        <rFont val="Wingdings 2"/>
        <family val="1"/>
        <charset val="2"/>
      </rPr>
      <t>£</t>
    </r>
    <r>
      <rPr>
        <sz val="9"/>
        <rFont val="Arial"/>
        <family val="2"/>
      </rPr>
      <t xml:space="preserve"> Nein, bitte zwingend die zuständige AHV-Ausgleichskasse angeben</t>
    </r>
  </si>
  <si>
    <t xml:space="preserve">     ....................................................................................................................................</t>
  </si>
  <si>
    <r>
      <t xml:space="preserve"> </t>
    </r>
    <r>
      <rPr>
        <sz val="9"/>
        <rFont val="Wingdings 2"/>
        <family val="1"/>
        <charset val="2"/>
      </rPr>
      <t>£</t>
    </r>
    <r>
      <rPr>
        <sz val="9"/>
        <rFont val="Arial"/>
        <family val="2"/>
      </rPr>
      <t xml:space="preserve"> Ja, bitte zwingend die Abrechnungsnummer angeben</t>
    </r>
  </si>
  <si>
    <t>Plafond gemäss SIFO ./. KA (CHF 103965)</t>
  </si>
  <si>
    <t>Plafond = 200% UVGmax</t>
  </si>
  <si>
    <t>SIFO-KA</t>
  </si>
  <si>
    <t>200%UVG</t>
  </si>
  <si>
    <t>200% UVGmax (296'400 Fr.)</t>
  </si>
  <si>
    <t>200% secondo LAINF (296'400 fr.)</t>
  </si>
  <si>
    <t>200% LAA max. (296'400 fr.)</t>
  </si>
  <si>
    <t>Der maximal versicherte Lohn ist auf das Maximum gemäss Sicherheitsfonds abzüglich Koordinationsabzug gemäss BVG begrenzt.</t>
  </si>
  <si>
    <t>Il salario che puo essere assicurato è limitato ai sensi del fondo di garanzia LPP meno l'importo di coordinamento secondo la LPP.</t>
  </si>
  <si>
    <t>Der maximal versicherte Lohn ist auf 200% des gemäss UVG massgebenden Höchstbetrages begrenzt.</t>
  </si>
  <si>
    <t>Le salaire maximal assuré est limité vers le haut à 200% du montant conformément à la LAA.</t>
  </si>
  <si>
    <t>Per il salario massimo assicurato è previsto un limite superiore al 200% dell'importo ai sensi della LAINF.</t>
  </si>
  <si>
    <t>Le salaire maximal assuré est limité vers le haut conformément à limite du fond de garantie, moins la déduction de coordin. selon la LPP.</t>
  </si>
  <si>
    <t>Liegen gesundheitliche Risikofaktoren vor (Rauchen, Alkohol usw.)</t>
  </si>
  <si>
    <t>Wenn ja: welche? Grund?</t>
  </si>
  <si>
    <t xml:space="preserve">Nahmen Sie in den letzten 5 Jahren oder nehmen Sie zurzeit regelmässig Medikamente </t>
  </si>
  <si>
    <t>zu sich?</t>
  </si>
  <si>
    <r>
      <rPr>
        <sz val="9"/>
        <rFont val="Arial"/>
        <family val="2"/>
      </rPr>
      <t xml:space="preserve"> </t>
    </r>
    <r>
      <rPr>
        <sz val="9"/>
        <rFont val="Wingdings 2"/>
        <family val="1"/>
        <charset val="2"/>
      </rPr>
      <t>£</t>
    </r>
    <r>
      <rPr>
        <sz val="9"/>
        <rFont val="Arial"/>
        <family val="2"/>
      </rPr>
      <t xml:space="preserve"> eingetragene Partnerschaft seit: .....................................................</t>
    </r>
  </si>
  <si>
    <t>Des facteurs de risque concernant l’état de santé existent-ils (fumée, alcool, etc.)?</t>
  </si>
  <si>
    <t>Si oui, lesquels? Raison?</t>
  </si>
  <si>
    <t>Au cours des 5 dernières années, avez-vous pris ou prenez-vous actuellement régulièrement des médicaments?</t>
  </si>
  <si>
    <t>Vi sono fattori rischio inerenti alla salute (fumo, alcol, ecc.)?</t>
  </si>
  <si>
    <t>Ha preso regolarmente dei farmaci negli ultimi 5 anni o sta attualmente prendendo regolarmente dei medicamenti?</t>
  </si>
  <si>
    <t>Se sì, precisare quali? Motivo?</t>
  </si>
  <si>
    <t>Nahmen Sie in den letzten 5 Jahren oder nehmen Sie zurzeit regelmässig Medikamente zu sich?</t>
  </si>
  <si>
    <t>Wenn ja, an welche? Grund?</t>
  </si>
  <si>
    <t xml:space="preserve">Au cours des 5 dernières années, avez-vous pris ou prenez-vous actuellement </t>
  </si>
  <si>
    <t>régulièrement des médicaments ?</t>
  </si>
  <si>
    <t>si oui, lesquels ? Raison ?</t>
  </si>
  <si>
    <t>Mitglieder-Nr.</t>
  </si>
  <si>
    <t>…………………………………</t>
  </si>
  <si>
    <t>…………………………</t>
  </si>
  <si>
    <t>bei Verband SBAP: ZSR-Nr.</t>
  </si>
  <si>
    <t xml:space="preserve">Sind Sie bei der AHV-Ausgleichskasse medisuisse </t>
  </si>
  <si>
    <t>angeschlossen?</t>
  </si>
  <si>
    <t>N° de membre</t>
  </si>
  <si>
    <t>pour l'association SBAP : n° RCC………………………</t>
  </si>
  <si>
    <t>Numero di membro:</t>
  </si>
  <si>
    <t>…………………………………………………</t>
  </si>
  <si>
    <t>E' membro di una delle associazioni professionali affiliate alla PAT-BVG?
(condizione per l'ammissione alla PAT-BVG)</t>
  </si>
  <si>
    <t>Indications concernant l’affiliation à la PAT-BVG</t>
  </si>
  <si>
    <t>Par ce contrat, l’employeur confie l’exécution de la prévoyance professionnelle selon l’art. 48 de la loi sur la prévoyance professionnelle vieillesse, survivants et invalidité (LPP) à la Fondation de prévoyance pour le personnel des médecins et vétérinaires PAT-BVG. Cette dernière est inscrite sous le numéro BE 01.0059 dans le registre de la prévoyance professionnelle. Les règlements et dispositions d’exécution stipulées par la PAT-BVG font partie intégrante du présent contrat d’affiliation. La condition sine qua non pour l'entrée en vigueur de ce contrat d'affiliation est la confirmation d'affiliation définitive de la PAT-BVG.
L'employeur confirme que son personnel a donné son accord conformément à l'art. 11 LPP.</t>
  </si>
  <si>
    <t>Le règlement de prévoyance et le plan de prévoyance choisi déterminent les prestations assurées ainsi que les cotisations. Sous réserve de l’approbation de la PAT-BVG, il est possible de changer de plan de prévoyance ou de modifier la répartition des cotisations entre employeur et employés pour le début de chaque année civile.</t>
  </si>
  <si>
    <t>Le contrat d'affiliation peut être résilié par écrit par les parties du contrat à l’issue d’une année d'assurance complète moyennant le respect d’un délai de résiliation de 6 mois pour la fin d’une année d’assurance. La résiliation par l’employeur n'est juridiquement valable que :
a) si l'employeur confirme que son personnel a donné son accord conformément à l'art. 11 LPP, et 
b) si la nouvelle institution de prévoyance confirme la reprise de l’ensemble des personnes assurées, bénéficiant de rentes ou qui y ont probablement droit, en garantissant les droits acquis. 
La PAT-BVG peut par ailleurs résilier ce contrat d’affiliation avec effet immédiat après la troisième sommation de payer des cotisations en souffrance, avec pour conséquence de mettre fin à la couverture de prévoyance. Les assurés sont informés par la PAT-BVG.
Les excédents ou les découverts sont compensés si les conditions d’une liquidation partielle sont réunies. Un règlement en détaille les critères.</t>
  </si>
  <si>
    <t>Confirmation: En faveur des personnes assurées auprès de la PAT-BVG,</t>
  </si>
  <si>
    <t>En cas de report du début du droit aux prestations d’invalidité à 720 jours avec réduction correspondante des primes de risque, la PAT-BVG ne répond pas des éventuelles prétentions juridiques impliquées avant la fin du délai d’attente. S’il apparaît, à l’occasion d’un cas de prestation, que le début des prestations ne peut pas être coordonné avec l’assurance indemnités journalières maladie collective et que la PAT-BVG doit déjà fournir des prestations d'invalidité avant le 721ème jour, l’employeur répondra de ces prestations supplémentaires. L’intégralité de la rente versée à la personne assurée avant le 721ème jour sera facturée à l’employeur, à l’exception de la libération de l’obligation de cotiser. L’employeur prend connaissance du fait qu'il répond des prestations supplémentaires éventuelles et que la PAT-BVG les lui facturera.</t>
  </si>
  <si>
    <t>Cas d’assurance en cours, à reprendre par la PAT-BVG:</t>
  </si>
  <si>
    <t>Veuillez indiquer toutes les personnes qui perçoivent une prestation. Veuillez également indiquer les personnes frappées d’une incapacité de travail ou de gain et dont le droit aux prestations est en cours d’examination. Les cas d’assurance ne sont repris qu’après versement du capital de couverture selon les bases actuarielles de la PAT-BVG.</t>
  </si>
  <si>
    <t xml:space="preserve">Con il presente contratto il/la lavoratore/trice indipendente trasferisce alla Fondazione di previdenza per il personale dei medici e veterinari PAT-BVG l’attuazione della previdenza professionale ai sensi dell’articolo 48 della Legge federale sulla previdenza professionale per la vecchiaia, i superstiti e l'invalidità (LPP). La PAT-BVG è iscritta nel registro della previdenza professionale con il numero BE 01.0059.
I regolamenti e le disposizioni esecutive emanati dalla PAT-BVG costituiscono parte integrante del presente contratto di affiliazione. Il presupposto per l’entrata in vigore del presente contratto di affiliazione è la conferma definitiva di ammissione da parte della PAT-BVG.
</t>
  </si>
  <si>
    <t>Le prestazioni assicurate e i contributi sono stabiliti in base al Regolamento di previdenza e al piano previdenziale prescelto. Salvo autorizzazione della PAT-BVG, il passaggio a un diverso piano previdenziale è consentito all’inizio di ciascun anno civile.</t>
  </si>
  <si>
    <t>Trascorso un intero anno assicurativo, il contratto di affiliazione può essere disdetto da entrambe le parti contraenti mediante comunicazione scritta per la fine dell’anno assicurativo, rispettando un termine di preavviso di 6 mesi.
Il lavoratore indipendente che abbia compiuto 58 anni o più al momento dell'uscita ha sostanzialmente maturato il diritto alle prestazioni di vecchiaia. Qualora successivamente al termine di disdetta si percepisca ancora un reddito soggetto a contri-buzione AVS, si potrà richiedere, al posto dell’erogazione della prestazione di vecchiaia, il trasferimento della prestazione di uscita su un conto di libero passaggio.
PAT-BVG ha inoltre la facoltà di sciogliere il presente contratto di affiliazione con effetto immediato dopo il terzo sollecito di paga-mento per importi non pagati. In questo caso la protezione previdenziale decade.
Ove siano soddisfatte le condizioni per una liquidazione parziale, si procederà alla compensazione di eccedenze e disavanzi. I relativi criteri sono stabiliti in un regolamento.</t>
  </si>
  <si>
    <t>2. In caso di differimento della nascita del diritto alle prestazioni di invalidità a 720 giorni con contributi di rischio ridotti in misura corrispondente, la PAT-BVG paga eventuali prestazioni di invalidità indipendentemente dall’esistenza un’assicurazione d’indennità giornaliera per malattia o infortunio a partire dal 721° giorno. Se viene desunto un diritto precedente, al lavoratore indipendente assicurato con questo contratto di affiliazione vengono addebitati tutti i pagamenti di rendite precedenti al 721° giorno oppure questi pagamenti vengono compensati con eventuali prestazioni dovute. Fa eccezione l’esonero dal pagamento dei contributi di risparmio e di rischio. Il termine di attesa per l’esonero dal pagamento dei contributi è sempre di 6 mesi.</t>
  </si>
  <si>
    <t>Se sussiste il diritto ad una prestazione di libero passaggio, il relativo importo deve essere versato al nuovo istituto di previdenza (art. 4, cpv. 2bis, LFLP). Si prega di effettuare il versamento sul seguente conto:
acrevis Bank AG, a favore di: PAT-BVG, 9001 San Gallo
IBAN CH33 0690 0016 0084 3650 2</t>
  </si>
  <si>
    <t xml:space="preserve">Il/La sottoscritto/a dichiara
– di voler aderire alla PAT-BVG alle condizioni menzionate;
– che i dati forniti nel presente modulo sono completi e conformi alla verità;
– di prendere atto che una violazione dell’obbligo di notifica autorizza la PAT-BVG a ridurre le prestazioni previste dal 
   regolamento alle prestazioni minime LPP.
In caso di bisogno la PAT-BVG può trasmettere i dati al proprio medico di fiducia oppure al riassicuratore. Tutti i dati verranno strettamente trattati con riservatezza.
</t>
  </si>
  <si>
    <t>Par le présent contrat, l’indépendant confie l’exécution de la prévoyance professionnelle selon l’art. 48 de la loi sur la prévo-yance professionnelle vieillesse, survivants et invalidité (LPP) à la Fondation de prévoyance pour le personnel des médecins et vétérinaires PAT-BVG. La PAT-BVG est inscrite au registre de la prévoyance professionnelle sous le numéro BE 01.0059.
Les règlements et dispositions d’exécution édictés par la PAT-BVG font partie intégrante du présent contrat d’affiliation. L’entrée en vigueur du présent contrat d’affiliation est soumise à la condition que l’admission soit définitivement confirmée par la PAT-BVG.</t>
  </si>
  <si>
    <t>Le règlement de prévoyance et le plan de prévoyance choisi déterminent les prestations assurées ainsi que les cotisations.  Sous réserve de l’approbation de la PAT-BVG, il est possible de changer de plan de prévoyance pour le début de chaque année civile.</t>
  </si>
  <si>
    <t>Le contrat d'affiliation peut être résilié par écrit par les parties du contrat à l’issue d’une année d'assurance complète moyennant le respect d’un délai de résiliation de 6 mois pour la fin d’une année d’assurance. 
En général, une prestation de vieillesse échoit si l’indépendant a atteint ou dépassé l’âge de 58 ans au moment de la sortie. Lorsque l’indépendant continue de percevoir un revenu soumis à l’AVS après le terme de résiliation, il peut demander à ce qu’une prestation de sortie soit versée sur un compte de libre-passage en lieu et place de la prestation de vieillesse.
PAT-BVG peut par ailleurs résilier ce contrat d’affiliation avec effet immédiat après la troisième sommation de payer des coti-sations en souffrance, avec pour conséquence de mettre fin à la couverture de prévoyance.
Les excédents ou les découverts sont compensés si les conditions d’une liquidation partielle sont réunies. Un règlement en détaille les critères.</t>
  </si>
  <si>
    <t>2. En cas de report du début du droit aux prestations d’invalidité à 720 jours avec réduction correspondante des cotisations de risque, la PAT-BVG paie les éventuelles prestations d’invalidité au plus tôt dès le 721ème jour, et ce indépendamment d'une assurance indemnités journalières maladie ou accident. S’il est demandé des prestations avant ce délai, l’intégralité de la rente versée avant le 721ème jour sera facturée à l'indépendant assuré, respectivement compensée avec les prestations le cas échéant réclamées, à l’exception de la libération de l’obligation de cotiser pour les cotisations d’épargne et les cotisations de risque. Le délai d’attente pour la libération de l’obligation de cotiser s’élève toujours à 6 mois.</t>
  </si>
  <si>
    <t>Êtes-vous membre d’une association professionnelle affiliée à la PAT-BVG? 
(une condition préalable à l’admission chez PAT-BVG)</t>
  </si>
  <si>
    <t xml:space="preserve">La personne soussignée confirme, qu’elle
– souhaite s’affilier à la PAT-BVG aux conditions contractuelles précitées;
– a intégralement complété ce formulaire et de manière véridique;
– prend connaissance du fait qu’en cas de fausse déclaration, la PAT-BVG est en droit de limiter les prestations 
   règlementaires au minimum légal LPP obligatoire.
La PAT-BVG peut, au besoin, transmettre les données à son médecin-conseil ou à son réassureur. Toutes les données sont traitées de manière strictement confidentielles. </t>
  </si>
  <si>
    <t>Con il presente contratto il datore di lavoro trasferisce alla Fondazione per la Previdenza del personale dei medici e dei veterinari PAT-BVG l’attuazione della previdenza professionale ai sensi dell’articolo 48 della Legge federale sulla previdenza professionale per la vecchiaia, i superstiti e l'invalidità (LPP). La PAT-BVG è iscritta al registro della previdenza professionale sotto il numero BE 01.0059. Costituiscono parte integrante del presente contratto di affiliazione i regolamenti e le disposizioni esecutive emanati dalla PAT-BVG. Il presupposto per l’entrata in vigore di questo contratto di adesione è la conferma di affiliazione definitiva da parte della PAT-BVG.
Il datore di lavoro conferma che i suoi collaboratori hanno dato il loro consenso ai sensi dell'art. 11 LPP.</t>
  </si>
  <si>
    <t>Le prestazioni assicurate e i contributi sono stabiliti in base al regolamento di previdenza e al piano previdenziale prescelto. Salvo autorizzazione della PAT-BVG, il passaggio a un diverso piano previdenziale o a una diversa ripartizione dei contributi tra datore di lavoro e dipendente è consentito all’inizio di ciascun anno civile.</t>
  </si>
  <si>
    <t>Trascorso un intero anno assicurativo, il contratto di affiliazione può essere disdetto da entrambe le parti contraenti mediante comunicazione scritta per la fine dell’anno assicurativo, rispettando un termine di preavviso di 6 mesi. La disdetta da parte del datore di lavoro ha effetto giuridico se
a) il datore di lavoro conferma che i suoi collaboratori hanno dato il loro consenso ai sensi dell'art. 11 LPP, e
b) il nuovo istituto di previdenza conferma la presa in carico, nel rispetto dei diritti acquisiti, di tutte le persone assicurate, aventi diritto alla rendita o che prevedibilmente vi avranno diritto. 
La PAT-BVG ha inoltre la facoltà di sciogliere il presente contratto di affiliazione con effetto immediato dopo il terzo sollecito di pagamento per importi non pagati. In questo caso la protezione previdenziale decade. Gli assicurati vengono informati dalla PAT-BVG.
Ove siano soddisfatte le condizioni per una liquidazione parziale, si procederà alla compensazione di eccedenze e disavanzi. I criteri sono stabiliti in un regolamento.</t>
  </si>
  <si>
    <t>Attestazione: Per le persone assicurate alla PAT-BVG sussiste</t>
  </si>
  <si>
    <t>In caso di differimento della nascita del diritto alle prestazioni di invalidità a 720 giorni con premi di rischio ridotti in misura corrispondente, la PAT-BVG non risponde di eventuali diritti derivati prima della scadenza del termine di attesa. Se in un caso assicurativo dovesse risultare che l’inizio delle prestazioni non può essere coordinato con l’assicurazione collettiva d’indennità giornaliera per malattia e la PAT-BVG deve fornire prestazioni di invalidità già prima del 721° giorno, è il datore di lavoro a rispondere delle prestazioni aggiuntive. Tutti i pagamenti delle rendite alla persona assicurata prima del 721° giorno vengono addebitati al datore di lavoro. Fa eccezione l’esonero dal pagamento dei contributi. Il datore di lavoro prende atto che deve rispondere di eventuali prestazioni aggiuntive e che queste gli saranno addebitate dalla PAT-BVG.</t>
  </si>
  <si>
    <t>Indicazioni per l’affiliazione alla PAT-BVG</t>
  </si>
  <si>
    <t>Casi di prestazioni in corso di cui deve farsi carico la PAT-BVG:</t>
  </si>
  <si>
    <t>Si prega di indicare tutte le persone che già percepiscono una prestazione. Dovranno essere indicate anche le persone inabili al lavoro o incapaci di guadagno soggette ad accertamento per stabilire il diritto all’erogazione di prestazioni. I casi di prestazione verranno accettati soltanto previo trasferimento della riserva matematica in conformità ai principi attuariali della PAT-BVG.</t>
  </si>
  <si>
    <r>
      <t xml:space="preserve">£ </t>
    </r>
    <r>
      <rPr>
        <sz val="9"/>
        <rFont val="Arial"/>
        <family val="2"/>
      </rPr>
      <t xml:space="preserve">PAT-BVG </t>
    </r>
  </si>
  <si>
    <r>
      <t>£</t>
    </r>
    <r>
      <rPr>
        <sz val="9"/>
        <rFont val="Arial"/>
        <family val="2"/>
      </rPr>
      <t xml:space="preserve"> ............................................................................................................</t>
    </r>
  </si>
  <si>
    <r>
      <t>£</t>
    </r>
    <r>
      <rPr>
        <sz val="9"/>
        <rFont val="Arial"/>
        <family val="2"/>
      </rPr>
      <t xml:space="preserve"> PAT-BVG</t>
    </r>
  </si>
  <si>
    <r>
      <t>£</t>
    </r>
    <r>
      <rPr>
        <sz val="9"/>
        <rFont val="Arial"/>
        <family val="2"/>
      </rPr>
      <t xml:space="preserve"> ....................................................................................</t>
    </r>
  </si>
  <si>
    <t>per l'associazione SBAP: RCC no. ……………………</t>
  </si>
  <si>
    <t>Plafond selon FG (CHF 132'300)</t>
  </si>
  <si>
    <t>secondo FG (CHF 132'300)</t>
  </si>
  <si>
    <t>gemäss BVG (22'050 Fr.)</t>
  </si>
  <si>
    <t>selon LPP (22'050 fr.)</t>
  </si>
  <si>
    <t>secondo LPP (22'050 fr.)</t>
  </si>
  <si>
    <t>gemäss BVG (22'050 Fr.) * BGR</t>
  </si>
  <si>
    <t>selon LPP (22'050 fr.)*degré d'occ.</t>
  </si>
  <si>
    <t>secondo LPP (22'050 fr.)*gr. di occ.</t>
  </si>
  <si>
    <t>gemäss BVG (fix 22'050 Fr.)</t>
  </si>
  <si>
    <t>selon LPP (fix 22'050 fr.)</t>
  </si>
  <si>
    <t>secondo LPP (fix 22'050 fr.)</t>
  </si>
  <si>
    <t>gemäss BVG (62'475 Fr.)</t>
  </si>
  <si>
    <t>selon LPP (62'475 fr.)</t>
  </si>
  <si>
    <t>secondo LPP (62'475 fr.)</t>
  </si>
  <si>
    <t>gemäss SIFO (132'300 Fr.)</t>
  </si>
  <si>
    <t>selon FG (132'300 fr.)</t>
  </si>
  <si>
    <t>secondo FG (132'300 fr.)</t>
  </si>
  <si>
    <t>300% AHVmax (88'200 Fr.)</t>
  </si>
  <si>
    <t>300% AVS max. (88'200 fr.)</t>
  </si>
  <si>
    <t>300% AVS mass. (88'200 fr.)</t>
  </si>
  <si>
    <t>gemäss SIFO ./. KA (106'575 Fr.)</t>
  </si>
  <si>
    <t>selon FG ./. DC (106'575 fr.)</t>
  </si>
  <si>
    <t>secondo FG ./. DC (106'575 fr.)</t>
  </si>
  <si>
    <t>Diese Offerte wurde nach dem ab 1.1.2023 gültigen Vorsorgereglement erstellt.</t>
  </si>
  <si>
    <t>Cette offre a été établie selon le règlement de prévoyance en vigueur au 1.1.2023.</t>
  </si>
  <si>
    <t>Questa offerta è stata stesa secondo il regolamento di previdenza in vigore dal 1.1.2023.</t>
  </si>
  <si>
    <t>Jahrgang:</t>
  </si>
  <si>
    <t>plus Monate (per):</t>
  </si>
  <si>
    <t>Alter 64</t>
  </si>
  <si>
    <t>Alter 65</t>
  </si>
  <si>
    <t>Übergangsgeneration Erhöhung Rentenalter</t>
  </si>
  <si>
    <t>Generation:</t>
  </si>
  <si>
    <t>Auswahl Generation:</t>
  </si>
  <si>
    <t>Jahrgang</t>
  </si>
  <si>
    <t>Generation</t>
  </si>
  <si>
    <t>AGH regl.</t>
  </si>
  <si>
    <t>A-Rente regl.</t>
  </si>
  <si>
    <t>UWS reg.</t>
  </si>
  <si>
    <t>UWS SE 60+</t>
  </si>
  <si>
    <t>UWS BVG</t>
  </si>
  <si>
    <t>AGH BVG</t>
  </si>
  <si>
    <t>64. AJ</t>
  </si>
  <si>
    <t>65. AJ</t>
  </si>
  <si>
    <t>AGS BVG</t>
  </si>
  <si>
    <t>im AHV-Referenzalter</t>
  </si>
  <si>
    <t>à l'âge de référence AVS</t>
  </si>
  <si>
    <t>all'età di riferimento AVS</t>
  </si>
  <si>
    <t>relevant</t>
  </si>
  <si>
    <t>A-Rente BVG</t>
  </si>
  <si>
    <t>Relevante Leistung</t>
  </si>
  <si>
    <t>AHV-Referenzalter erreicht am</t>
  </si>
  <si>
    <t>Età di riferimento dell'AVS raggiunta il</t>
  </si>
  <si>
    <t>Age de référence AVS atteint au</t>
  </si>
  <si>
    <t>Ks ohne Zins</t>
  </si>
  <si>
    <t>AGS regl.</t>
  </si>
  <si>
    <t>A ohne Zins</t>
  </si>
  <si>
    <t>Seit dem 1. Januar 2021 ist die Umwandlung in eine Altersrente bis zu einem vorhandenen Altersguthaben von CHF 1.5 Mio. (Verrentungsgrenze) möglich. Das diesen Betrag übersteigende Altersguthaben ist in Kapitalform zu beziehen.</t>
  </si>
  <si>
    <t>Depuis le 1er janvier 2021, la conversion en une rente de vieillesse est possible jusqu'à un avoir de vieillesse existant de CHF 1,5 million (limite de rente). L'avoir de vieillesse excédant ce montant doit être prélevé sous forme de capital.</t>
  </si>
  <si>
    <t>AGS BVG ggü. Alter 64</t>
  </si>
  <si>
    <t>à l’âge de 65 ans</t>
  </si>
  <si>
    <t>all’età di 65 anni</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</si>
</sst>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 #,##0.00_ ;_ * \-#,##0.00_ ;_ * &quot;-&quot;??_ ;_ @_ "/>
    <numFmt numFmtId="164" formatCode="0.0"/>
    <numFmt numFmtId="165" formatCode="0.0%"/>
    <numFmt numFmtId="166" formatCode="dd/mm/yyyy;@"/>
    <numFmt numFmtId="167" formatCode="d/m/yyyy"/>
    <numFmt numFmtId="168" formatCode="0."/>
    <numFmt numFmtId="169" formatCode="_ * #,##0.00_ ;_ * \-#,##0.00_ ;_ * &quot;-&quot;??_ ;_ @_ \ \ \ \ \ \ \ \ \ \ "/>
    <numFmt numFmtId="170" formatCode="0.00\ \ \ \ \ \ \ \ \ \ \ "/>
    <numFmt numFmtId="171" formatCode="0.00000"/>
    <numFmt numFmtId="172" formatCode="#,##0.0000"/>
    <numFmt numFmtId="173" formatCode="0.0000"/>
    <numFmt numFmtId="174" formatCode="#,##0_ ;[Red]\-#,##0\ "/>
    <numFmt numFmtId="175" formatCode="_ * #,##0_ ;_ * \-#,##0_ ;_ * &quot;-&quot;??_ ;_ @_ "/>
  </numFmts>
  <fonts count="127" x14ac:knownFonts="1">
    <font>
      <sz val="10"/>
      <name val="Arial"/>
    </font>
    <font>
      <sz val="10"/>
      <name val="Arial"/>
      <family val="2"/>
    </font>
    <font>
      <sz val="8"/>
      <name val="Arial"/>
      <family val="2"/>
    </font>
    <font>
      <b/>
      <sz val="10"/>
      <name val="Arial"/>
      <family val="2"/>
    </font>
    <font>
      <b/>
      <sz val="11"/>
      <name val="Arial"/>
      <family val="2"/>
    </font>
    <font>
      <sz val="11"/>
      <name val="Arial"/>
      <family val="2"/>
    </font>
    <font>
      <b/>
      <sz val="14"/>
      <name val="Arial"/>
      <family val="2"/>
    </font>
    <font>
      <vertAlign val="superscript"/>
      <sz val="11"/>
      <name val="Arial"/>
      <family val="2"/>
    </font>
    <font>
      <sz val="8"/>
      <name val="Arial"/>
      <family val="2"/>
    </font>
    <font>
      <sz val="11"/>
      <name val="Arial"/>
      <family val="2"/>
    </font>
    <font>
      <sz val="10"/>
      <name val="Arial"/>
      <family val="2"/>
    </font>
    <font>
      <sz val="10"/>
      <color indexed="9"/>
      <name val="Arial"/>
      <family val="2"/>
    </font>
    <font>
      <vertAlign val="superscript"/>
      <sz val="10"/>
      <name val="Arial"/>
      <family val="2"/>
    </font>
    <font>
      <b/>
      <sz val="9"/>
      <name val="Arial"/>
      <family val="2"/>
    </font>
    <font>
      <b/>
      <sz val="8.5"/>
      <name val="Arial"/>
      <family val="2"/>
    </font>
    <font>
      <sz val="8.5"/>
      <name val="Arial"/>
      <family val="2"/>
    </font>
    <font>
      <i/>
      <sz val="10"/>
      <name val="Arial"/>
      <family val="2"/>
    </font>
    <font>
      <sz val="8.5"/>
      <name val="Arial"/>
      <family val="2"/>
    </font>
    <font>
      <i/>
      <sz val="8.5"/>
      <name val="Arial"/>
      <family val="2"/>
    </font>
    <font>
      <sz val="14"/>
      <color indexed="18"/>
      <name val="Arial"/>
      <family val="2"/>
    </font>
    <font>
      <b/>
      <sz val="14"/>
      <color indexed="18"/>
      <name val="Arial"/>
      <family val="2"/>
    </font>
    <font>
      <sz val="10"/>
      <color indexed="18"/>
      <name val="Arial"/>
      <family val="2"/>
    </font>
    <font>
      <b/>
      <sz val="10"/>
      <color indexed="18"/>
      <name val="Arial"/>
      <family val="2"/>
    </font>
    <font>
      <sz val="8.5"/>
      <color indexed="10"/>
      <name val="Arial"/>
      <family val="2"/>
    </font>
    <font>
      <b/>
      <sz val="8"/>
      <name val="Arial"/>
      <family val="2"/>
    </font>
    <font>
      <sz val="10"/>
      <color indexed="10"/>
      <name val="Arial"/>
      <family val="2"/>
    </font>
    <font>
      <b/>
      <sz val="10"/>
      <color indexed="10"/>
      <name val="Arial"/>
      <family val="2"/>
    </font>
    <font>
      <b/>
      <sz val="12"/>
      <name val="Arial"/>
      <family val="2"/>
    </font>
    <font>
      <sz val="10"/>
      <color indexed="57"/>
      <name val="Arial"/>
      <family val="2"/>
    </font>
    <font>
      <sz val="5"/>
      <name val="Arial"/>
      <family val="2"/>
    </font>
    <font>
      <b/>
      <sz val="6.5"/>
      <name val="Arial"/>
      <family val="2"/>
    </font>
    <font>
      <sz val="6.5"/>
      <name val="Arial"/>
      <family val="2"/>
    </font>
    <font>
      <b/>
      <sz val="9.5"/>
      <name val="Arial"/>
      <family val="2"/>
    </font>
    <font>
      <sz val="9.5"/>
      <name val="Arial"/>
      <family val="2"/>
    </font>
    <font>
      <sz val="14"/>
      <name val="Arial"/>
      <family val="2"/>
    </font>
    <font>
      <sz val="8.5"/>
      <color indexed="9"/>
      <name val="Arial"/>
      <family val="2"/>
    </font>
    <font>
      <b/>
      <sz val="14"/>
      <color indexed="63"/>
      <name val="Arial"/>
      <family val="2"/>
    </font>
    <font>
      <sz val="6"/>
      <name val="Arial"/>
      <family val="2"/>
    </font>
    <font>
      <b/>
      <sz val="6"/>
      <name val="Arial"/>
      <family val="2"/>
    </font>
    <font>
      <b/>
      <sz val="8.5"/>
      <name val="Arial"/>
      <family val="2"/>
    </font>
    <font>
      <sz val="10"/>
      <name val="Arial Narrow"/>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color indexed="10"/>
      <name val="Arial"/>
      <family val="2"/>
    </font>
    <font>
      <b/>
      <sz val="10"/>
      <color indexed="62"/>
      <name val="Arial"/>
      <family val="2"/>
    </font>
    <font>
      <sz val="9"/>
      <name val="Arial"/>
      <family val="2"/>
    </font>
    <font>
      <sz val="12"/>
      <name val="Arial"/>
      <family val="2"/>
    </font>
    <font>
      <sz val="11"/>
      <color indexed="63"/>
      <name val="Arial"/>
      <family val="2"/>
    </font>
    <font>
      <b/>
      <sz val="8"/>
      <color indexed="9"/>
      <name val="Arial"/>
      <family val="2"/>
    </font>
    <font>
      <i/>
      <sz val="8.5"/>
      <name val="Arial"/>
      <family val="2"/>
    </font>
    <font>
      <b/>
      <i/>
      <sz val="8.5"/>
      <name val="Arial"/>
      <family val="2"/>
    </font>
    <font>
      <sz val="8.5"/>
      <color indexed="63"/>
      <name val="Arial"/>
      <family val="2"/>
    </font>
    <font>
      <b/>
      <sz val="8"/>
      <color indexed="10"/>
      <name val="Arial"/>
      <family val="2"/>
    </font>
    <font>
      <b/>
      <i/>
      <sz val="9.5"/>
      <name val="Arial"/>
      <family val="2"/>
    </font>
    <font>
      <b/>
      <i/>
      <sz val="10"/>
      <name val="Arial"/>
      <family val="2"/>
    </font>
    <font>
      <b/>
      <sz val="8.5"/>
      <color indexed="10"/>
      <name val="Arial"/>
      <family val="2"/>
    </font>
    <font>
      <sz val="10"/>
      <color indexed="22"/>
      <name val="Arial"/>
      <family val="2"/>
    </font>
    <font>
      <sz val="10"/>
      <color indexed="22"/>
      <name val="Arial"/>
      <family val="2"/>
    </font>
    <font>
      <i/>
      <sz val="10"/>
      <color indexed="10"/>
      <name val="Arial"/>
      <family val="2"/>
    </font>
    <font>
      <b/>
      <sz val="9.5"/>
      <color indexed="13"/>
      <name val="Arial"/>
      <family val="2"/>
    </font>
    <font>
      <b/>
      <sz val="10"/>
      <color indexed="13"/>
      <name val="Arial"/>
      <family val="2"/>
    </font>
    <font>
      <b/>
      <sz val="12"/>
      <color indexed="13"/>
      <name val="Arial"/>
      <family val="2"/>
    </font>
    <font>
      <b/>
      <i/>
      <sz val="10"/>
      <color indexed="13"/>
      <name val="Arial"/>
      <family val="2"/>
    </font>
    <font>
      <sz val="10"/>
      <color indexed="13"/>
      <name val="Arial"/>
      <family val="2"/>
    </font>
    <font>
      <b/>
      <sz val="15"/>
      <color indexed="63"/>
      <name val="Arial"/>
      <family val="2"/>
    </font>
    <font>
      <b/>
      <sz val="10"/>
      <color indexed="63"/>
      <name val="Arial"/>
      <family val="2"/>
    </font>
    <font>
      <sz val="9"/>
      <name val="Arial"/>
      <family val="2"/>
    </font>
    <font>
      <sz val="9"/>
      <name val="Wingdings 2"/>
      <family val="1"/>
      <charset val="2"/>
    </font>
    <font>
      <i/>
      <sz val="9"/>
      <name val="Arial"/>
      <family val="2"/>
    </font>
    <font>
      <sz val="10"/>
      <color indexed="9"/>
      <name val="Arial"/>
      <family val="2"/>
    </font>
    <font>
      <sz val="9"/>
      <color indexed="9"/>
      <name val="Arial"/>
      <family val="2"/>
    </font>
    <font>
      <b/>
      <sz val="10"/>
      <color indexed="48"/>
      <name val="Arial"/>
      <family val="2"/>
    </font>
    <font>
      <b/>
      <sz val="12"/>
      <color indexed="10"/>
      <name val="Arial"/>
      <family val="2"/>
    </font>
    <font>
      <u/>
      <sz val="9"/>
      <name val="Arial"/>
      <family val="2"/>
    </font>
    <font>
      <u/>
      <sz val="9"/>
      <name val="Arial"/>
      <family val="2"/>
    </font>
    <font>
      <b/>
      <sz val="10"/>
      <color indexed="9"/>
      <name val="Arial"/>
      <family val="2"/>
    </font>
    <font>
      <sz val="7"/>
      <name val="Arial"/>
      <family val="2"/>
    </font>
    <font>
      <b/>
      <sz val="18"/>
      <name val="Arial"/>
      <family val="2"/>
    </font>
    <font>
      <sz val="18"/>
      <name val="Arial"/>
      <family val="2"/>
    </font>
    <font>
      <sz val="9"/>
      <name val="Arial Narrow"/>
      <family val="2"/>
    </font>
    <font>
      <sz val="4"/>
      <name val="Arial"/>
      <family val="2"/>
    </font>
    <font>
      <b/>
      <sz val="9"/>
      <name val="Arial Narrow"/>
      <family val="2"/>
    </font>
    <font>
      <b/>
      <sz val="8.5"/>
      <name val="Arial Narrow"/>
      <family val="2"/>
    </font>
    <font>
      <b/>
      <sz val="10"/>
      <name val="Arial Narrow"/>
      <family val="2"/>
    </font>
    <font>
      <sz val="8.5"/>
      <name val="Arial Narrow"/>
      <family val="2"/>
    </font>
    <font>
      <sz val="8"/>
      <name val="Arial Narrow"/>
      <family val="2"/>
    </font>
    <font>
      <sz val="8.5"/>
      <name val="Arial"/>
      <family val="2"/>
    </font>
    <font>
      <sz val="8.5"/>
      <color rgb="FFFF0000"/>
      <name val="Arial"/>
      <family val="2"/>
    </font>
    <font>
      <b/>
      <sz val="10"/>
      <color rgb="FFFF0000"/>
      <name val="Arial"/>
      <family val="2"/>
    </font>
    <font>
      <i/>
      <sz val="8.5"/>
      <color theme="0"/>
      <name val="Arial"/>
      <family val="2"/>
    </font>
    <font>
      <sz val="8.5"/>
      <color theme="0"/>
      <name val="Arial"/>
      <family val="2"/>
    </font>
    <font>
      <b/>
      <sz val="14"/>
      <color rgb="FFFF0000"/>
      <name val="Arial"/>
      <family val="2"/>
    </font>
    <font>
      <sz val="8"/>
      <color theme="4" tint="-0.499984740745262"/>
      <name val="Arial"/>
      <family val="2"/>
    </font>
    <font>
      <i/>
      <sz val="8"/>
      <color theme="4" tint="-0.499984740745262"/>
      <name val="Arial"/>
      <family val="2"/>
    </font>
    <font>
      <b/>
      <i/>
      <sz val="8.5"/>
      <color rgb="FFFF0000"/>
      <name val="Arial Narrow"/>
      <family val="2"/>
    </font>
    <font>
      <b/>
      <sz val="8.5"/>
      <color rgb="FFFF0000"/>
      <name val="Arial"/>
      <family val="2"/>
    </font>
    <font>
      <b/>
      <i/>
      <sz val="10"/>
      <color rgb="FFFF0000"/>
      <name val="Arial"/>
      <family val="2"/>
    </font>
    <font>
      <sz val="10"/>
      <color theme="0"/>
      <name val="Arial"/>
      <family val="2"/>
    </font>
    <font>
      <b/>
      <sz val="8"/>
      <color rgb="FF0070C0"/>
      <name val="Arial"/>
      <family val="2"/>
    </font>
    <font>
      <sz val="10"/>
      <color rgb="FFFF0000"/>
      <name val="Arial"/>
      <family val="2"/>
    </font>
    <font>
      <b/>
      <sz val="16"/>
      <name val="Arial"/>
      <family val="2"/>
    </font>
    <font>
      <sz val="11"/>
      <color theme="0" tint="-0.14999847407452621"/>
      <name val="Arial"/>
      <family val="2"/>
    </font>
    <font>
      <i/>
      <sz val="11"/>
      <name val="Arial"/>
      <family val="2"/>
    </font>
    <font>
      <b/>
      <sz val="18"/>
      <color indexed="63"/>
      <name val="Arial"/>
      <family val="2"/>
    </font>
    <font>
      <sz val="9"/>
      <color indexed="81"/>
      <name val="Segoe UI"/>
      <family val="2"/>
    </font>
    <font>
      <b/>
      <sz val="9"/>
      <color indexed="81"/>
      <name val="Segoe UI"/>
      <family val="2"/>
    </font>
    <font>
      <sz val="10"/>
      <name val="Arial"/>
      <family val="2"/>
    </font>
    <font>
      <sz val="10"/>
      <name val="Arial"/>
      <family val="2"/>
    </font>
    <font>
      <b/>
      <i/>
      <sz val="9"/>
      <name val="Arial"/>
      <family val="2"/>
    </font>
    <font>
      <sz val="10"/>
      <color theme="0" tint="-0.14999847407452621"/>
      <name val="Arial"/>
      <family val="2"/>
    </font>
    <font>
      <i/>
      <sz val="8"/>
      <name val="Arial"/>
      <family val="2"/>
    </font>
    <font>
      <i/>
      <sz val="7"/>
      <name val="Arial"/>
      <family val="2"/>
    </font>
  </fonts>
  <fills count="7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41"/>
        <bgColor indexed="64"/>
      </patternFill>
    </fill>
    <fill>
      <patternFill patternType="solid">
        <fgColor indexed="51"/>
        <bgColor indexed="64"/>
      </patternFill>
    </fill>
    <fill>
      <patternFill patternType="solid">
        <fgColor indexed="43"/>
        <bgColor indexed="64"/>
      </patternFill>
    </fill>
    <fill>
      <patternFill patternType="solid">
        <fgColor indexed="11"/>
        <bgColor indexed="64"/>
      </patternFill>
    </fill>
    <fill>
      <patternFill patternType="solid">
        <fgColor indexed="40"/>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63"/>
        <bgColor indexed="64"/>
      </patternFill>
    </fill>
    <fill>
      <patternFill patternType="solid">
        <fgColor indexed="57"/>
        <bgColor indexed="64"/>
      </patternFill>
    </fill>
    <fill>
      <patternFill patternType="solid">
        <fgColor indexed="61"/>
        <bgColor indexed="64"/>
      </patternFill>
    </fill>
    <fill>
      <patternFill patternType="solid">
        <fgColor indexed="53"/>
        <bgColor indexed="64"/>
      </patternFill>
    </fill>
    <fill>
      <patternFill patternType="solid">
        <fgColor indexed="62"/>
        <bgColor indexed="64"/>
      </patternFill>
    </fill>
    <fill>
      <patternFill patternType="solid">
        <fgColor indexed="45"/>
        <bgColor indexed="64"/>
      </patternFill>
    </fill>
    <fill>
      <patternFill patternType="solid">
        <fgColor indexed="8"/>
        <bgColor indexed="64"/>
      </patternFill>
    </fill>
    <fill>
      <patternFill patternType="solid">
        <fgColor indexed="16"/>
        <bgColor indexed="64"/>
      </patternFill>
    </fill>
    <fill>
      <patternFill patternType="solid">
        <fgColor indexed="17"/>
        <bgColor indexed="64"/>
      </patternFill>
    </fill>
    <fill>
      <patternFill patternType="solid">
        <fgColor indexed="21"/>
        <bgColor indexed="64"/>
      </patternFill>
    </fill>
    <fill>
      <patternFill patternType="solid">
        <fgColor indexed="19"/>
        <bgColor indexed="64"/>
      </patternFill>
    </fill>
    <fill>
      <patternFill patternType="solid">
        <fgColor indexed="10"/>
        <bgColor indexed="64"/>
      </patternFill>
    </fill>
    <fill>
      <patternFill patternType="solid">
        <fgColor indexed="20"/>
        <bgColor indexed="64"/>
      </patternFill>
    </fill>
    <fill>
      <patternFill patternType="solid">
        <fgColor indexed="12"/>
        <bgColor indexed="64"/>
      </patternFill>
    </fill>
    <fill>
      <patternFill patternType="solid">
        <fgColor indexed="48"/>
        <bgColor indexed="64"/>
      </patternFill>
    </fill>
    <fill>
      <patternFill patternType="solid">
        <fgColor indexed="52"/>
        <bgColor indexed="64"/>
      </patternFill>
    </fill>
    <fill>
      <patternFill patternType="solid">
        <fgColor indexed="50"/>
        <bgColor indexed="64"/>
      </patternFill>
    </fill>
    <fill>
      <patternFill patternType="solid">
        <fgColor indexed="65"/>
        <bgColor indexed="44"/>
      </patternFill>
    </fill>
    <fill>
      <patternFill patternType="solid">
        <fgColor indexed="26"/>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FF00"/>
        <bgColor indexed="64"/>
      </patternFill>
    </fill>
    <fill>
      <patternFill patternType="solid">
        <fgColor rgb="FFDDDDDD"/>
        <bgColor indexed="64"/>
      </patternFill>
    </fill>
    <fill>
      <patternFill patternType="solid">
        <fgColor rgb="FFDDDDDD"/>
        <bgColor indexed="44"/>
      </patternFill>
    </fill>
    <fill>
      <patternFill patternType="solid">
        <fgColor rgb="FFFFC000"/>
        <bgColor indexed="64"/>
      </patternFill>
    </fill>
    <fill>
      <patternFill patternType="solid">
        <fgColor theme="7" tint="0.79998168889431442"/>
        <bgColor indexed="64"/>
      </patternFill>
    </fill>
    <fill>
      <patternFill patternType="solid">
        <fgColor rgb="FF00B0F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1"/>
        <bgColor indexed="64"/>
      </patternFill>
    </fill>
    <fill>
      <patternFill patternType="solid">
        <fgColor theme="0"/>
        <bgColor indexed="64"/>
      </patternFill>
    </fill>
    <fill>
      <patternFill patternType="solid">
        <fgColor theme="7"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s>
  <borders count="5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57"/>
      </left>
      <right style="thick">
        <color indexed="57"/>
      </right>
      <top style="thick">
        <color indexed="57"/>
      </top>
      <bottom style="thick">
        <color indexed="57"/>
      </bottom>
      <diagonal/>
    </border>
    <border>
      <left style="thick">
        <color indexed="64"/>
      </left>
      <right/>
      <top/>
      <bottom/>
      <diagonal/>
    </border>
    <border>
      <left style="thin">
        <color indexed="64"/>
      </left>
      <right style="thin">
        <color indexed="64"/>
      </right>
      <top/>
      <bottom/>
      <diagonal/>
    </border>
    <border>
      <left style="thick">
        <color indexed="13"/>
      </left>
      <right style="thick">
        <color indexed="13"/>
      </right>
      <top style="thick">
        <color indexed="13"/>
      </top>
      <bottom style="thick">
        <color indexed="13"/>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bottom style="thick">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3"/>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medium">
        <color theme="4" tint="0.59996337778862885"/>
      </left>
      <right/>
      <top style="medium">
        <color theme="4" tint="0.59996337778862885"/>
      </top>
      <bottom style="medium">
        <color theme="4" tint="0.59996337778862885"/>
      </bottom>
      <diagonal/>
    </border>
    <border>
      <left/>
      <right/>
      <top style="medium">
        <color theme="4" tint="0.59996337778862885"/>
      </top>
      <bottom style="medium">
        <color theme="4" tint="0.59996337778862885"/>
      </bottom>
      <diagonal/>
    </border>
  </borders>
  <cellStyleXfs count="51">
    <xf numFmtId="0" fontId="0"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0" fontId="42" fillId="12"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9" borderId="0" applyNumberFormat="0" applyBorder="0" applyAlignment="0" applyProtection="0"/>
    <xf numFmtId="0" fontId="43" fillId="20" borderId="1" applyNumberFormat="0" applyAlignment="0" applyProtection="0"/>
    <xf numFmtId="0" fontId="44" fillId="20" borderId="2" applyNumberFormat="0" applyAlignment="0" applyProtection="0"/>
    <xf numFmtId="0" fontId="45" fillId="7" borderId="2" applyNumberFormat="0" applyAlignment="0" applyProtection="0"/>
    <xf numFmtId="0" fontId="46" fillId="0" borderId="3" applyNumberFormat="0" applyFill="0" applyAlignment="0" applyProtection="0"/>
    <xf numFmtId="0" fontId="47" fillId="0" borderId="0" applyNumberFormat="0" applyFill="0" applyBorder="0" applyAlignment="0" applyProtection="0"/>
    <xf numFmtId="0" fontId="48" fillId="4" borderId="0" applyNumberFormat="0" applyBorder="0" applyAlignment="0" applyProtection="0"/>
    <xf numFmtId="0" fontId="49" fillId="21" borderId="0" applyNumberFormat="0" applyBorder="0" applyAlignment="0" applyProtection="0"/>
    <xf numFmtId="0" fontId="10" fillId="22" borderId="4" applyNumberFormat="0" applyFont="0" applyAlignment="0" applyProtection="0"/>
    <xf numFmtId="0" fontId="50" fillId="3" borderId="0" applyNumberFormat="0" applyBorder="0" applyAlignment="0" applyProtection="0"/>
    <xf numFmtId="0" fontId="10" fillId="0" borderId="0"/>
    <xf numFmtId="0" fontId="9" fillId="0" borderId="0"/>
    <xf numFmtId="0" fontId="5" fillId="0" borderId="0"/>
    <xf numFmtId="0" fontId="51" fillId="0" borderId="0" applyNumberFormat="0" applyFill="0" applyBorder="0" applyAlignment="0" applyProtection="0"/>
    <xf numFmtId="0" fontId="52" fillId="0" borderId="5" applyNumberFormat="0" applyFill="0" applyAlignment="0" applyProtection="0"/>
    <xf numFmtId="0" fontId="53" fillId="0" borderId="6" applyNumberFormat="0" applyFill="0" applyAlignment="0" applyProtection="0"/>
    <xf numFmtId="0" fontId="54" fillId="0" borderId="7" applyNumberFormat="0" applyFill="0" applyAlignment="0" applyProtection="0"/>
    <xf numFmtId="0" fontId="54" fillId="0" borderId="0" applyNumberFormat="0" applyFill="0" applyBorder="0" applyAlignment="0" applyProtection="0"/>
    <xf numFmtId="0" fontId="55" fillId="0" borderId="8" applyNumberFormat="0" applyFill="0" applyAlignment="0" applyProtection="0"/>
    <xf numFmtId="0" fontId="56" fillId="0" borderId="0" applyNumberFormat="0" applyFill="0" applyBorder="0" applyAlignment="0" applyProtection="0"/>
    <xf numFmtId="0" fontId="57" fillId="23" borderId="9" applyNumberFormat="0" applyAlignment="0" applyProtection="0"/>
    <xf numFmtId="0" fontId="5" fillId="0" borderId="0"/>
    <xf numFmtId="9" fontId="121" fillId="0" borderId="0" applyFont="0" applyFill="0" applyBorder="0" applyAlignment="0" applyProtection="0"/>
    <xf numFmtId="43" fontId="122" fillId="0" borderId="0" applyFont="0" applyFill="0" applyBorder="0" applyAlignment="0" applyProtection="0"/>
    <xf numFmtId="0" fontId="1" fillId="0" borderId="0"/>
    <xf numFmtId="0" fontId="5" fillId="0" borderId="0"/>
    <xf numFmtId="9" fontId="1" fillId="0" borderId="0" applyFont="0" applyFill="0" applyBorder="0" applyAlignment="0" applyProtection="0"/>
  </cellStyleXfs>
  <cellXfs count="1524">
    <xf numFmtId="0" fontId="0" fillId="0" borderId="0" xfId="0"/>
    <xf numFmtId="0" fontId="0" fillId="0" borderId="0" xfId="0" applyAlignment="1">
      <alignment vertical="center"/>
    </xf>
    <xf numFmtId="0" fontId="0" fillId="24" borderId="0" xfId="0" applyFill="1" applyAlignment="1">
      <alignment vertical="center"/>
    </xf>
    <xf numFmtId="0" fontId="0" fillId="0" borderId="0" xfId="0" applyAlignment="1">
      <alignment horizontal="center" vertical="center"/>
    </xf>
    <xf numFmtId="0" fontId="4" fillId="0" borderId="0" xfId="0" applyFont="1" applyFill="1" applyAlignment="1">
      <alignment vertical="center"/>
    </xf>
    <xf numFmtId="3" fontId="0" fillId="0" borderId="0" xfId="0" applyNumberFormat="1" applyAlignment="1">
      <alignment horizontal="center" vertical="center"/>
    </xf>
    <xf numFmtId="3" fontId="0" fillId="0" borderId="0" xfId="0" applyNumberFormat="1" applyFill="1" applyAlignment="1">
      <alignment horizontal="center" vertical="center"/>
    </xf>
    <xf numFmtId="0" fontId="3" fillId="0" borderId="0" xfId="0" applyFont="1" applyFill="1" applyAlignment="1">
      <alignment horizontal="center" vertical="center"/>
    </xf>
    <xf numFmtId="0" fontId="3" fillId="25" borderId="0" xfId="0" applyFont="1" applyFill="1" applyAlignment="1">
      <alignment horizontal="center" vertical="center"/>
    </xf>
    <xf numFmtId="0" fontId="3" fillId="26" borderId="0" xfId="0" applyFont="1" applyFill="1" applyAlignment="1">
      <alignment horizontal="center" vertical="center"/>
    </xf>
    <xf numFmtId="0" fontId="3" fillId="27" borderId="0" xfId="0" applyFont="1" applyFill="1" applyAlignment="1">
      <alignment horizontal="center" vertical="center"/>
    </xf>
    <xf numFmtId="0" fontId="3" fillId="28" borderId="0" xfId="0" applyFont="1" applyFill="1" applyAlignment="1">
      <alignment horizontal="center" vertical="center"/>
    </xf>
    <xf numFmtId="0" fontId="3" fillId="0" borderId="0" xfId="0" applyFont="1" applyAlignment="1">
      <alignment horizontal="center" vertical="center"/>
    </xf>
    <xf numFmtId="0" fontId="0" fillId="0" borderId="0" xfId="0" quotePrefix="1" applyFill="1" applyAlignment="1">
      <alignment horizontal="center" vertical="center"/>
    </xf>
    <xf numFmtId="0" fontId="0" fillId="25" borderId="0" xfId="0" applyFill="1" applyAlignment="1">
      <alignment horizontal="center" vertical="center"/>
    </xf>
    <xf numFmtId="0" fontId="0" fillId="26" borderId="0" xfId="0" applyFill="1" applyAlignment="1">
      <alignment horizontal="center" vertical="center"/>
    </xf>
    <xf numFmtId="0" fontId="0" fillId="28" borderId="0" xfId="0" applyFill="1" applyAlignment="1">
      <alignment horizontal="center" vertical="center"/>
    </xf>
    <xf numFmtId="0" fontId="0" fillId="0" borderId="0" xfId="0" applyFill="1" applyAlignment="1">
      <alignment vertical="center"/>
    </xf>
    <xf numFmtId="0" fontId="8" fillId="0" borderId="0" xfId="0" applyFont="1" applyFill="1" applyAlignment="1">
      <alignment horizontal="center" vertical="center"/>
    </xf>
    <xf numFmtId="0" fontId="3" fillId="29" borderId="0" xfId="0" applyFont="1" applyFill="1" applyAlignment="1">
      <alignment horizontal="center" vertical="center"/>
    </xf>
    <xf numFmtId="0" fontId="0" fillId="29" borderId="0" xfId="0" applyFill="1" applyAlignment="1">
      <alignment horizontal="center" vertical="center"/>
    </xf>
    <xf numFmtId="0" fontId="6" fillId="0" borderId="0" xfId="0" applyFont="1"/>
    <xf numFmtId="0" fontId="5" fillId="0" borderId="0" xfId="0" applyFont="1"/>
    <xf numFmtId="0" fontId="2" fillId="0" borderId="10" xfId="0" applyFont="1" applyBorder="1" applyAlignment="1">
      <alignment horizontal="center"/>
    </xf>
    <xf numFmtId="0" fontId="5" fillId="0" borderId="10" xfId="0" applyFont="1" applyBorder="1" applyAlignment="1">
      <alignment horizontal="center"/>
    </xf>
    <xf numFmtId="0" fontId="2" fillId="0" borderId="11" xfId="0" applyFont="1" applyBorder="1" applyAlignment="1">
      <alignment horizontal="center"/>
    </xf>
    <xf numFmtId="0" fontId="5" fillId="0" borderId="11" xfId="0" applyFont="1" applyBorder="1" applyAlignment="1">
      <alignment horizontal="center"/>
    </xf>
    <xf numFmtId="0" fontId="9" fillId="0" borderId="0" xfId="0" applyFont="1"/>
    <xf numFmtId="0" fontId="4" fillId="0" borderId="11" xfId="0" applyFont="1" applyBorder="1"/>
    <xf numFmtId="0" fontId="9" fillId="0" borderId="12" xfId="0" applyFont="1" applyBorder="1"/>
    <xf numFmtId="3" fontId="9" fillId="0" borderId="13" xfId="0" applyNumberFormat="1" applyFont="1" applyBorder="1" applyAlignment="1">
      <alignment horizontal="center"/>
    </xf>
    <xf numFmtId="3" fontId="9" fillId="0" borderId="10" xfId="0" applyNumberFormat="1" applyFont="1" applyBorder="1" applyAlignment="1">
      <alignment horizontal="center"/>
    </xf>
    <xf numFmtId="0" fontId="10" fillId="0" borderId="0" xfId="0" applyFont="1" applyAlignment="1">
      <alignment vertical="center"/>
    </xf>
    <xf numFmtId="0" fontId="0" fillId="0" borderId="0" xfId="0" applyFill="1"/>
    <xf numFmtId="0" fontId="3" fillId="0" borderId="0" xfId="0" applyFont="1" applyFill="1"/>
    <xf numFmtId="0" fontId="13" fillId="0" borderId="0" xfId="0" applyFont="1" applyAlignment="1">
      <alignment horizontal="center" vertical="center"/>
    </xf>
    <xf numFmtId="3" fontId="14" fillId="24" borderId="0" xfId="0" applyNumberFormat="1" applyFont="1" applyFill="1" applyAlignment="1">
      <alignment horizontal="center" vertical="center"/>
    </xf>
    <xf numFmtId="3" fontId="15" fillId="0" borderId="0" xfId="0" applyNumberFormat="1" applyFont="1" applyAlignment="1">
      <alignment horizontal="right" vertical="center"/>
    </xf>
    <xf numFmtId="0" fontId="6" fillId="0" borderId="0" xfId="0" applyFont="1" applyFill="1"/>
    <xf numFmtId="1" fontId="16" fillId="0" borderId="0" xfId="0" applyNumberFormat="1" applyFont="1" applyFill="1"/>
    <xf numFmtId="0" fontId="0" fillId="0" borderId="0" xfId="0" applyFill="1" applyAlignment="1">
      <alignment horizontal="center"/>
    </xf>
    <xf numFmtId="0" fontId="17" fillId="0" borderId="0" xfId="0" applyFont="1" applyFill="1"/>
    <xf numFmtId="0" fontId="17" fillId="0" borderId="0" xfId="0" applyFont="1" applyFill="1" applyAlignment="1">
      <alignment horizontal="center"/>
    </xf>
    <xf numFmtId="0" fontId="15" fillId="0" borderId="0" xfId="0" applyFont="1" applyFill="1" applyAlignment="1">
      <alignment horizontal="center"/>
    </xf>
    <xf numFmtId="1" fontId="18" fillId="0" borderId="0" xfId="0" applyNumberFormat="1" applyFont="1" applyFill="1" applyAlignment="1">
      <alignment horizontal="center"/>
    </xf>
    <xf numFmtId="0" fontId="10" fillId="0" borderId="0" xfId="0" applyFont="1" applyFill="1" applyAlignment="1">
      <alignment vertical="center"/>
    </xf>
    <xf numFmtId="0" fontId="17" fillId="0" borderId="0" xfId="0" applyFont="1" applyAlignment="1">
      <alignment vertical="center"/>
    </xf>
    <xf numFmtId="0" fontId="17" fillId="0" borderId="0" xfId="0" applyFont="1" applyAlignment="1" applyProtection="1">
      <alignment vertical="center"/>
      <protection locked="0"/>
    </xf>
    <xf numFmtId="0" fontId="17" fillId="0" borderId="0" xfId="0" applyFont="1" applyFill="1" applyAlignment="1">
      <alignment vertical="center"/>
    </xf>
    <xf numFmtId="0" fontId="17" fillId="30" borderId="0" xfId="0" applyFont="1" applyFill="1" applyAlignment="1">
      <alignment vertical="center"/>
    </xf>
    <xf numFmtId="0" fontId="3" fillId="0" borderId="0" xfId="0" applyFont="1" applyAlignment="1" applyProtection="1">
      <alignment vertical="center"/>
    </xf>
    <xf numFmtId="0" fontId="3" fillId="0" borderId="0" xfId="0" applyFont="1" applyFill="1" applyAlignment="1" applyProtection="1">
      <alignment vertical="center"/>
    </xf>
    <xf numFmtId="0" fontId="10" fillId="0" borderId="0" xfId="0" applyFont="1" applyAlignment="1" applyProtection="1">
      <alignment vertical="center"/>
    </xf>
    <xf numFmtId="0" fontId="10" fillId="0" borderId="0" xfId="0" applyFont="1" applyFill="1" applyAlignment="1" applyProtection="1">
      <alignment vertical="center"/>
    </xf>
    <xf numFmtId="0" fontId="10" fillId="0" borderId="12" xfId="0" applyFont="1" applyBorder="1" applyAlignment="1" applyProtection="1">
      <alignment vertical="center"/>
    </xf>
    <xf numFmtId="0" fontId="10" fillId="0" borderId="12" xfId="0" applyFont="1" applyFill="1" applyBorder="1" applyAlignment="1" applyProtection="1">
      <alignment vertical="center"/>
    </xf>
    <xf numFmtId="0" fontId="10" fillId="30" borderId="12" xfId="0" applyFont="1" applyFill="1" applyBorder="1" applyAlignment="1" applyProtection="1">
      <alignment vertical="center"/>
    </xf>
    <xf numFmtId="0" fontId="10" fillId="0" borderId="0" xfId="0" applyFont="1" applyBorder="1" applyAlignment="1" applyProtection="1">
      <alignment vertical="center"/>
    </xf>
    <xf numFmtId="0" fontId="10" fillId="0" borderId="0" xfId="0" applyFont="1" applyFill="1" applyBorder="1" applyAlignment="1" applyProtection="1">
      <alignment vertical="center"/>
    </xf>
    <xf numFmtId="3" fontId="10" fillId="0" borderId="0" xfId="0" applyNumberFormat="1" applyFont="1" applyFill="1" applyAlignment="1" applyProtection="1">
      <alignment vertical="center"/>
    </xf>
    <xf numFmtId="0" fontId="10" fillId="0" borderId="14" xfId="0" applyFont="1" applyFill="1" applyBorder="1" applyAlignment="1" applyProtection="1">
      <alignment vertical="center"/>
    </xf>
    <xf numFmtId="0" fontId="11" fillId="0" borderId="0" xfId="0" applyFont="1" applyFill="1" applyAlignment="1" applyProtection="1">
      <alignment vertical="center"/>
    </xf>
    <xf numFmtId="3" fontId="3" fillId="0" borderId="0" xfId="0" applyNumberFormat="1" applyFont="1" applyFill="1" applyAlignment="1" applyProtection="1">
      <alignment horizontal="center" vertical="center"/>
    </xf>
    <xf numFmtId="0" fontId="3" fillId="0" borderId="12" xfId="0" applyFont="1" applyFill="1" applyBorder="1" applyAlignment="1" applyProtection="1">
      <alignment vertical="center"/>
    </xf>
    <xf numFmtId="0" fontId="17" fillId="0" borderId="0" xfId="0" applyFont="1" applyAlignment="1" applyProtection="1">
      <alignment vertical="center"/>
    </xf>
    <xf numFmtId="0" fontId="20" fillId="0" borderId="0" xfId="0" applyFont="1" applyFill="1" applyAlignment="1" applyProtection="1">
      <alignment vertical="center"/>
    </xf>
    <xf numFmtId="0" fontId="19" fillId="0" borderId="0" xfId="0" applyFont="1" applyFill="1" applyAlignment="1" applyProtection="1">
      <alignment vertical="center"/>
    </xf>
    <xf numFmtId="0" fontId="10" fillId="0" borderId="0" xfId="0" applyFont="1" applyFill="1" applyAlignment="1" applyProtection="1">
      <alignment horizontal="left" vertical="center"/>
    </xf>
    <xf numFmtId="2" fontId="10" fillId="0" borderId="12" xfId="0" applyNumberFormat="1" applyFont="1" applyBorder="1" applyAlignment="1" applyProtection="1">
      <alignment vertical="center"/>
    </xf>
    <xf numFmtId="4" fontId="10" fillId="0" borderId="12" xfId="0" applyNumberFormat="1" applyFont="1" applyBorder="1" applyAlignment="1" applyProtection="1">
      <alignment vertical="center"/>
    </xf>
    <xf numFmtId="0" fontId="12" fillId="0" borderId="12" xfId="0" applyFont="1" applyFill="1" applyBorder="1" applyAlignment="1" applyProtection="1">
      <alignment vertical="center"/>
    </xf>
    <xf numFmtId="0" fontId="12" fillId="27" borderId="12" xfId="0" applyFont="1" applyFill="1" applyBorder="1" applyAlignment="1" applyProtection="1">
      <alignment vertical="center"/>
    </xf>
    <xf numFmtId="0" fontId="3" fillId="0" borderId="12" xfId="0" applyFont="1" applyBorder="1" applyAlignment="1" applyProtection="1">
      <alignment vertical="center"/>
    </xf>
    <xf numFmtId="3" fontId="10" fillId="0" borderId="12" xfId="0" applyNumberFormat="1" applyFont="1" applyBorder="1" applyAlignment="1" applyProtection="1">
      <alignment horizontal="right" vertical="center"/>
    </xf>
    <xf numFmtId="3" fontId="10" fillId="0" borderId="12" xfId="0" applyNumberFormat="1" applyFont="1" applyBorder="1" applyAlignment="1" applyProtection="1">
      <alignment vertical="center"/>
    </xf>
    <xf numFmtId="0" fontId="8" fillId="0" borderId="12" xfId="0" applyFont="1" applyBorder="1" applyAlignment="1" applyProtection="1">
      <alignment horizontal="center" vertical="center"/>
    </xf>
    <xf numFmtId="3" fontId="10" fillId="0" borderId="0" xfId="0" applyNumberFormat="1" applyFont="1" applyBorder="1" applyAlignment="1" applyProtection="1">
      <alignment vertical="center"/>
    </xf>
    <xf numFmtId="9" fontId="8" fillId="0" borderId="12" xfId="0" applyNumberFormat="1" applyFont="1" applyFill="1" applyBorder="1" applyAlignment="1" applyProtection="1">
      <alignment horizontal="center" vertical="center"/>
    </xf>
    <xf numFmtId="14" fontId="10" fillId="0" borderId="0" xfId="0" applyNumberFormat="1" applyFont="1" applyAlignment="1" applyProtection="1">
      <alignment vertical="center"/>
    </xf>
    <xf numFmtId="14" fontId="10" fillId="0" borderId="0" xfId="0" applyNumberFormat="1" applyFont="1" applyFill="1" applyAlignment="1" applyProtection="1">
      <alignment vertical="center"/>
    </xf>
    <xf numFmtId="165" fontId="10" fillId="0" borderId="12" xfId="0" applyNumberFormat="1" applyFont="1" applyBorder="1" applyAlignment="1" applyProtection="1">
      <alignment vertical="center"/>
    </xf>
    <xf numFmtId="3" fontId="3" fillId="0" borderId="12" xfId="0" applyNumberFormat="1" applyFont="1" applyBorder="1" applyAlignment="1" applyProtection="1">
      <alignment vertical="center"/>
    </xf>
    <xf numFmtId="0" fontId="6" fillId="0" borderId="0" xfId="0" applyFont="1" applyFill="1" applyAlignment="1">
      <alignment vertical="center"/>
    </xf>
    <xf numFmtId="0" fontId="0" fillId="0" borderId="0" xfId="0" applyFill="1" applyAlignment="1">
      <alignment horizontal="center" vertical="center"/>
    </xf>
    <xf numFmtId="0" fontId="3" fillId="0" borderId="10" xfId="0" applyFont="1" applyFill="1" applyBorder="1" applyAlignment="1">
      <alignment horizontal="center" vertical="top"/>
    </xf>
    <xf numFmtId="0" fontId="3" fillId="0" borderId="10" xfId="0" applyFont="1" applyFill="1" applyBorder="1" applyAlignment="1">
      <alignment horizontal="center" vertical="top" wrapText="1"/>
    </xf>
    <xf numFmtId="3" fontId="17" fillId="0" borderId="0" xfId="0" applyNumberFormat="1" applyFont="1" applyFill="1" applyAlignment="1" applyProtection="1">
      <alignment horizontal="left" vertical="center"/>
    </xf>
    <xf numFmtId="0" fontId="14" fillId="0" borderId="0" xfId="0" applyFont="1" applyFill="1" applyAlignment="1" applyProtection="1">
      <alignment horizontal="right" vertical="center"/>
    </xf>
    <xf numFmtId="10" fontId="10" fillId="0" borderId="12" xfId="0" applyNumberFormat="1" applyFont="1" applyBorder="1" applyAlignment="1" applyProtection="1">
      <alignment vertical="center"/>
    </xf>
    <xf numFmtId="0" fontId="10" fillId="0" borderId="15" xfId="0" applyFont="1" applyFill="1" applyBorder="1" applyAlignment="1" applyProtection="1">
      <alignment vertical="center"/>
    </xf>
    <xf numFmtId="0" fontId="8" fillId="0" borderId="0" xfId="0" applyFont="1" applyBorder="1" applyAlignment="1" applyProtection="1">
      <alignment vertical="center"/>
    </xf>
    <xf numFmtId="2" fontId="10" fillId="0" borderId="0" xfId="0" applyNumberFormat="1" applyFont="1" applyFill="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3" fontId="17" fillId="0" borderId="0" xfId="0" applyNumberFormat="1" applyFont="1" applyAlignment="1">
      <alignment horizontal="center" vertical="center"/>
    </xf>
    <xf numFmtId="0" fontId="17" fillId="0" borderId="10" xfId="0" applyFont="1" applyBorder="1" applyAlignment="1">
      <alignment horizontal="center" vertical="center"/>
    </xf>
    <xf numFmtId="3" fontId="17" fillId="0" borderId="10" xfId="0" applyNumberFormat="1" applyFont="1" applyFill="1" applyBorder="1" applyAlignment="1">
      <alignment horizontal="center" vertical="center"/>
    </xf>
    <xf numFmtId="3" fontId="17" fillId="30" borderId="10" xfId="0" applyNumberFormat="1" applyFont="1" applyFill="1" applyBorder="1" applyAlignment="1">
      <alignment horizontal="center" vertical="center"/>
    </xf>
    <xf numFmtId="3" fontId="17" fillId="0" borderId="16" xfId="0" applyNumberFormat="1" applyFont="1" applyFill="1" applyBorder="1" applyAlignment="1">
      <alignment horizontal="center" vertical="center"/>
    </xf>
    <xf numFmtId="3" fontId="17" fillId="0" borderId="17" xfId="0" applyNumberFormat="1" applyFont="1" applyFill="1" applyBorder="1" applyAlignment="1">
      <alignment horizontal="center" vertical="center"/>
    </xf>
    <xf numFmtId="3" fontId="17" fillId="0" borderId="13" xfId="0" applyNumberFormat="1" applyFont="1" applyFill="1" applyBorder="1" applyAlignment="1">
      <alignment horizontal="center" vertical="center"/>
    </xf>
    <xf numFmtId="9" fontId="17" fillId="30" borderId="11" xfId="0" applyNumberFormat="1" applyFont="1" applyFill="1" applyBorder="1" applyAlignment="1">
      <alignment horizontal="center" vertical="center"/>
    </xf>
    <xf numFmtId="0" fontId="8" fillId="0" borderId="12" xfId="0" applyFont="1" applyFill="1" applyBorder="1" applyAlignment="1" applyProtection="1">
      <alignment horizontal="center" vertical="center"/>
    </xf>
    <xf numFmtId="0" fontId="27" fillId="0" borderId="0" xfId="0" applyFont="1" applyFill="1"/>
    <xf numFmtId="0" fontId="3" fillId="0" borderId="0" xfId="0" applyFont="1" applyFill="1" applyAlignment="1">
      <alignment horizontal="center"/>
    </xf>
    <xf numFmtId="1" fontId="3" fillId="0" borderId="0" xfId="0" applyNumberFormat="1" applyFont="1" applyFill="1" applyAlignment="1">
      <alignment horizontal="center"/>
    </xf>
    <xf numFmtId="0" fontId="3" fillId="0" borderId="0" xfId="0" applyFont="1" applyBorder="1" applyAlignment="1">
      <alignment horizontal="left" vertical="top" wrapText="1"/>
    </xf>
    <xf numFmtId="0" fontId="3" fillId="0" borderId="0" xfId="0" applyFont="1" applyBorder="1" applyAlignment="1">
      <alignment horizontal="justify" vertical="top" wrapText="1"/>
    </xf>
    <xf numFmtId="3" fontId="15" fillId="0" borderId="0" xfId="0" applyNumberFormat="1" applyFont="1" applyAlignment="1">
      <alignment horizontal="left" vertical="center"/>
    </xf>
    <xf numFmtId="0" fontId="15" fillId="0" borderId="0" xfId="0" applyFont="1" applyAlignment="1">
      <alignment vertical="center"/>
    </xf>
    <xf numFmtId="1" fontId="17" fillId="0" borderId="0" xfId="0" applyNumberFormat="1" applyFont="1" applyAlignment="1" applyProtection="1">
      <alignment vertical="center"/>
    </xf>
    <xf numFmtId="3" fontId="10" fillId="0" borderId="12" xfId="0" applyNumberFormat="1" applyFont="1" applyFill="1" applyBorder="1" applyAlignment="1" applyProtection="1">
      <alignment horizontal="right" vertical="center"/>
    </xf>
    <xf numFmtId="3" fontId="10" fillId="0" borderId="0" xfId="0" applyNumberFormat="1" applyFont="1" applyFill="1" applyAlignment="1">
      <alignment horizontal="right" vertical="center"/>
    </xf>
    <xf numFmtId="3" fontId="10" fillId="0" borderId="10" xfId="0" applyNumberFormat="1" applyFont="1" applyFill="1" applyBorder="1" applyAlignment="1">
      <alignment vertical="center"/>
    </xf>
    <xf numFmtId="3" fontId="10" fillId="0" borderId="10" xfId="0" applyNumberFormat="1" applyFont="1" applyFill="1" applyBorder="1" applyAlignment="1">
      <alignment horizontal="right" vertical="center"/>
    </xf>
    <xf numFmtId="1" fontId="10" fillId="0" borderId="0" xfId="0" applyNumberFormat="1" applyFont="1" applyFill="1" applyBorder="1" applyAlignment="1" applyProtection="1">
      <alignment horizontal="right" vertical="center"/>
    </xf>
    <xf numFmtId="0" fontId="10" fillId="0" borderId="14" xfId="0" applyFont="1" applyBorder="1" applyAlignment="1" applyProtection="1">
      <alignment vertical="center"/>
    </xf>
    <xf numFmtId="10" fontId="14" fillId="0" borderId="12" xfId="0" applyNumberFormat="1" applyFont="1" applyBorder="1" applyAlignment="1" applyProtection="1">
      <alignment horizontal="right" vertical="center"/>
    </xf>
    <xf numFmtId="0" fontId="6" fillId="0" borderId="0" xfId="0" applyFont="1" applyFill="1" applyAlignment="1">
      <alignment horizontal="left" vertical="center"/>
    </xf>
    <xf numFmtId="0" fontId="10" fillId="0" borderId="0" xfId="0" applyFont="1" applyFill="1" applyAlignment="1">
      <alignment horizontal="center" vertical="center"/>
    </xf>
    <xf numFmtId="0" fontId="10" fillId="0" borderId="10" xfId="0" applyFont="1" applyFill="1" applyBorder="1" applyAlignment="1">
      <alignment vertical="center"/>
    </xf>
    <xf numFmtId="2" fontId="10" fillId="0" borderId="10" xfId="0" applyNumberFormat="1" applyFont="1" applyFill="1" applyBorder="1" applyAlignment="1">
      <alignment vertical="center"/>
    </xf>
    <xf numFmtId="0" fontId="10" fillId="0" borderId="10" xfId="0" applyFont="1" applyFill="1" applyBorder="1" applyAlignment="1">
      <alignment horizontal="center" vertical="center"/>
    </xf>
    <xf numFmtId="1" fontId="10" fillId="0" borderId="10" xfId="0" applyNumberFormat="1" applyFont="1" applyFill="1" applyBorder="1" applyAlignment="1">
      <alignment horizontal="center" vertical="center"/>
    </xf>
    <xf numFmtId="0" fontId="10" fillId="24" borderId="10" xfId="0" applyFont="1" applyFill="1" applyBorder="1" applyAlignment="1">
      <alignment horizontal="center" vertical="center"/>
    </xf>
    <xf numFmtId="4" fontId="10" fillId="0" borderId="0" xfId="0" applyNumberFormat="1" applyFont="1" applyFill="1" applyAlignment="1">
      <alignment vertical="center"/>
    </xf>
    <xf numFmtId="0" fontId="3" fillId="0" borderId="0" xfId="0" applyFont="1" applyFill="1" applyAlignment="1" applyProtection="1">
      <alignment horizontal="left" vertical="center"/>
    </xf>
    <xf numFmtId="2" fontId="3" fillId="0" borderId="0" xfId="0" applyNumberFormat="1" applyFont="1" applyFill="1" applyAlignment="1" applyProtection="1">
      <alignment horizontal="left" vertical="center"/>
    </xf>
    <xf numFmtId="10" fontId="3" fillId="0" borderId="10" xfId="0" applyNumberFormat="1" applyFont="1" applyFill="1" applyBorder="1" applyAlignment="1">
      <alignment horizontal="center" vertical="top"/>
    </xf>
    <xf numFmtId="0" fontId="10" fillId="0" borderId="0" xfId="0" applyFont="1" applyFill="1" applyAlignment="1">
      <alignment horizontal="center" vertical="top"/>
    </xf>
    <xf numFmtId="3" fontId="3" fillId="26" borderId="10" xfId="0" applyNumberFormat="1" applyFont="1" applyFill="1" applyBorder="1" applyAlignment="1">
      <alignment horizontal="center" vertical="top" wrapText="1"/>
    </xf>
    <xf numFmtId="2" fontId="3" fillId="0" borderId="10" xfId="0" applyNumberFormat="1" applyFont="1" applyFill="1" applyBorder="1" applyAlignment="1">
      <alignment horizontal="center" vertical="top" wrapText="1"/>
    </xf>
    <xf numFmtId="3" fontId="10" fillId="0" borderId="0" xfId="0" applyNumberFormat="1" applyFont="1" applyFill="1" applyAlignment="1">
      <alignment vertical="center"/>
    </xf>
    <xf numFmtId="2" fontId="29" fillId="0" borderId="0" xfId="0" applyNumberFormat="1" applyFont="1" applyFill="1" applyAlignment="1">
      <alignment horizontal="center" vertical="center"/>
    </xf>
    <xf numFmtId="2" fontId="10" fillId="0" borderId="0" xfId="0" applyNumberFormat="1" applyFont="1" applyFill="1" applyAlignment="1">
      <alignment horizontal="right" vertical="center"/>
    </xf>
    <xf numFmtId="2" fontId="3" fillId="31" borderId="10" xfId="0" applyNumberFormat="1" applyFont="1" applyFill="1" applyBorder="1" applyAlignment="1">
      <alignment horizontal="center" vertical="top" wrapText="1"/>
    </xf>
    <xf numFmtId="2" fontId="10" fillId="0" borderId="10" xfId="0" applyNumberFormat="1" applyFont="1" applyFill="1" applyBorder="1" applyAlignment="1">
      <alignment horizontal="right" vertical="center"/>
    </xf>
    <xf numFmtId="2" fontId="10" fillId="24" borderId="10" xfId="0" applyNumberFormat="1" applyFont="1" applyFill="1" applyBorder="1" applyAlignment="1">
      <alignment horizontal="right" vertical="center"/>
    </xf>
    <xf numFmtId="3" fontId="3" fillId="32" borderId="10" xfId="0" applyNumberFormat="1" applyFont="1" applyFill="1" applyBorder="1" applyAlignment="1">
      <alignment horizontal="center" vertical="top" wrapText="1"/>
    </xf>
    <xf numFmtId="3" fontId="10" fillId="32" borderId="10" xfId="0" applyNumberFormat="1" applyFont="1" applyFill="1" applyBorder="1" applyAlignment="1">
      <alignment vertical="center"/>
    </xf>
    <xf numFmtId="0" fontId="10" fillId="33" borderId="12" xfId="0" applyFont="1" applyFill="1" applyBorder="1" applyAlignment="1" applyProtection="1">
      <alignment vertical="center"/>
    </xf>
    <xf numFmtId="0" fontId="23" fillId="34" borderId="0" xfId="0" applyFont="1" applyFill="1" applyAlignment="1" applyProtection="1">
      <alignment vertical="center"/>
    </xf>
    <xf numFmtId="0" fontId="25" fillId="0" borderId="0" xfId="0" applyFont="1" applyAlignment="1" applyProtection="1">
      <alignment vertical="center"/>
    </xf>
    <xf numFmtId="0" fontId="17" fillId="34" borderId="0" xfId="0" applyFont="1" applyFill="1" applyAlignment="1" applyProtection="1">
      <alignment vertical="center"/>
    </xf>
    <xf numFmtId="0" fontId="31" fillId="34" borderId="0" xfId="0" applyFont="1" applyFill="1" applyAlignment="1" applyProtection="1">
      <alignment vertical="center"/>
    </xf>
    <xf numFmtId="1" fontId="29" fillId="0" borderId="0" xfId="0" applyNumberFormat="1" applyFont="1" applyFill="1" applyAlignment="1">
      <alignment horizontal="center" vertical="center"/>
    </xf>
    <xf numFmtId="1" fontId="3" fillId="0" borderId="0" xfId="0" applyNumberFormat="1" applyFont="1" applyFill="1" applyAlignment="1" applyProtection="1">
      <alignment horizontal="left" vertical="center"/>
    </xf>
    <xf numFmtId="1" fontId="10" fillId="0" borderId="10" xfId="0" applyNumberFormat="1" applyFont="1" applyFill="1" applyBorder="1" applyAlignment="1">
      <alignment vertical="center"/>
    </xf>
    <xf numFmtId="1" fontId="10" fillId="0" borderId="0" xfId="0" applyNumberFormat="1" applyFont="1" applyFill="1" applyAlignment="1">
      <alignment horizontal="center" vertical="center"/>
    </xf>
    <xf numFmtId="49" fontId="32" fillId="0" borderId="0" xfId="0" applyNumberFormat="1" applyFont="1" applyAlignment="1">
      <alignment horizontal="left"/>
    </xf>
    <xf numFmtId="0" fontId="33" fillId="0" borderId="0" xfId="0" applyFont="1"/>
    <xf numFmtId="4" fontId="33" fillId="0" borderId="0" xfId="0" applyNumberFormat="1" applyFont="1"/>
    <xf numFmtId="1" fontId="3" fillId="35" borderId="10" xfId="0" applyNumberFormat="1" applyFont="1" applyFill="1" applyBorder="1" applyAlignment="1">
      <alignment horizontal="center" vertical="top" wrapText="1"/>
    </xf>
    <xf numFmtId="3" fontId="17" fillId="0" borderId="13" xfId="0" applyNumberFormat="1" applyFont="1" applyBorder="1" applyAlignment="1" applyProtection="1">
      <alignment vertical="center"/>
      <protection locked="0"/>
    </xf>
    <xf numFmtId="0" fontId="8" fillId="0" borderId="0" xfId="0" applyFont="1" applyFill="1" applyBorder="1" applyAlignment="1" applyProtection="1">
      <alignment vertical="center"/>
    </xf>
    <xf numFmtId="0" fontId="14" fillId="0" borderId="0" xfId="0" applyFont="1" applyBorder="1" applyAlignment="1" applyProtection="1">
      <alignment horizontal="right" vertical="center"/>
    </xf>
    <xf numFmtId="0" fontId="30" fillId="0" borderId="0" xfId="0" applyFont="1" applyBorder="1" applyAlignment="1" applyProtection="1">
      <alignment horizontal="right" vertical="center"/>
    </xf>
    <xf numFmtId="14" fontId="8" fillId="0" borderId="0" xfId="0" applyNumberFormat="1" applyFont="1" applyBorder="1" applyAlignment="1" applyProtection="1">
      <alignment vertical="center"/>
    </xf>
    <xf numFmtId="3" fontId="3" fillId="0" borderId="0" xfId="0" applyNumberFormat="1" applyFont="1" applyFill="1" applyBorder="1" applyAlignment="1" applyProtection="1">
      <alignment vertical="center"/>
    </xf>
    <xf numFmtId="0" fontId="19" fillId="0" borderId="0" xfId="0" applyFont="1" applyFill="1" applyBorder="1" applyAlignment="1" applyProtection="1">
      <alignment vertical="center"/>
    </xf>
    <xf numFmtId="0" fontId="24" fillId="0" borderId="0" xfId="0" applyFont="1" applyFill="1" applyBorder="1" applyAlignment="1" applyProtection="1">
      <alignment horizontal="right" vertical="center"/>
    </xf>
    <xf numFmtId="0" fontId="34" fillId="0" borderId="0" xfId="0" applyFont="1" applyFill="1" applyAlignment="1" applyProtection="1">
      <alignment horizontal="left" vertical="center"/>
    </xf>
    <xf numFmtId="1" fontId="17" fillId="30" borderId="0" xfId="0" applyNumberFormat="1" applyFont="1" applyFill="1" applyAlignment="1" applyProtection="1">
      <alignment vertical="center"/>
      <protection locked="0"/>
    </xf>
    <xf numFmtId="0" fontId="35" fillId="36" borderId="0" xfId="0" applyFont="1" applyFill="1" applyAlignment="1" applyProtection="1">
      <alignment vertical="center"/>
      <protection locked="0"/>
    </xf>
    <xf numFmtId="0" fontId="35" fillId="36" borderId="0" xfId="0" applyFont="1" applyFill="1" applyAlignment="1">
      <alignment vertical="center"/>
    </xf>
    <xf numFmtId="0" fontId="35" fillId="0" borderId="0" xfId="0" applyFont="1" applyFill="1" applyAlignment="1">
      <alignment vertical="center"/>
    </xf>
    <xf numFmtId="0" fontId="35" fillId="37" borderId="0" xfId="0" applyFont="1" applyFill="1" applyAlignment="1" applyProtection="1">
      <alignment vertical="center"/>
      <protection locked="0"/>
    </xf>
    <xf numFmtId="0" fontId="35" fillId="37" borderId="0" xfId="0" applyFont="1" applyFill="1" applyAlignment="1">
      <alignment vertical="center"/>
    </xf>
    <xf numFmtId="0" fontId="17" fillId="24" borderId="0" xfId="0" applyFont="1" applyFill="1" applyAlignment="1" applyProtection="1">
      <alignment vertical="center"/>
      <protection locked="0"/>
    </xf>
    <xf numFmtId="0" fontId="17" fillId="24" borderId="0" xfId="0" applyFont="1" applyFill="1" applyAlignment="1">
      <alignment vertical="center"/>
    </xf>
    <xf numFmtId="1" fontId="17" fillId="0" borderId="13" xfId="0" applyNumberFormat="1" applyFont="1" applyBorder="1" applyAlignment="1" applyProtection="1">
      <alignment vertical="center"/>
      <protection locked="0"/>
    </xf>
    <xf numFmtId="3" fontId="17" fillId="24" borderId="0" xfId="0" applyNumberFormat="1" applyFont="1" applyFill="1" applyAlignment="1">
      <alignment vertical="center"/>
    </xf>
    <xf numFmtId="0" fontId="17" fillId="25" borderId="0" xfId="0" applyFont="1" applyFill="1" applyAlignment="1" applyProtection="1">
      <alignment vertical="center"/>
      <protection locked="0"/>
    </xf>
    <xf numFmtId="0" fontId="17" fillId="25" borderId="0" xfId="0" applyFont="1" applyFill="1" applyAlignment="1">
      <alignment vertical="center"/>
    </xf>
    <xf numFmtId="0" fontId="17" fillId="26" borderId="0" xfId="0" applyFont="1" applyFill="1" applyAlignment="1" applyProtection="1">
      <alignment vertical="center"/>
      <protection locked="0"/>
    </xf>
    <xf numFmtId="0" fontId="17" fillId="26" borderId="0" xfId="0" applyFont="1" applyFill="1" applyAlignment="1">
      <alignment vertical="center"/>
    </xf>
    <xf numFmtId="0" fontId="17" fillId="27" borderId="0" xfId="0" applyFont="1" applyFill="1" applyAlignment="1" applyProtection="1">
      <alignment vertical="center"/>
      <protection locked="0"/>
    </xf>
    <xf numFmtId="0" fontId="17" fillId="27" borderId="0" xfId="0" applyFont="1" applyFill="1" applyAlignment="1">
      <alignment vertical="center"/>
    </xf>
    <xf numFmtId="9" fontId="17" fillId="27" borderId="0" xfId="0" applyNumberFormat="1" applyFont="1" applyFill="1" applyAlignment="1">
      <alignment vertical="center"/>
    </xf>
    <xf numFmtId="3" fontId="17" fillId="27" borderId="0" xfId="0" applyNumberFormat="1" applyFont="1" applyFill="1" applyAlignment="1">
      <alignment vertical="center"/>
    </xf>
    <xf numFmtId="4" fontId="17" fillId="0" borderId="0" xfId="0" applyNumberFormat="1" applyFont="1" applyAlignment="1">
      <alignment vertical="center"/>
    </xf>
    <xf numFmtId="0" fontId="17" fillId="28" borderId="0" xfId="0" applyFont="1" applyFill="1" applyAlignment="1" applyProtection="1">
      <alignment vertical="center"/>
      <protection locked="0"/>
    </xf>
    <xf numFmtId="0" fontId="17" fillId="28" borderId="0" xfId="0" applyFont="1" applyFill="1" applyAlignment="1">
      <alignment vertical="center"/>
    </xf>
    <xf numFmtId="9" fontId="17" fillId="28" borderId="0" xfId="0" applyNumberFormat="1" applyFont="1" applyFill="1" applyAlignment="1">
      <alignment vertical="center"/>
    </xf>
    <xf numFmtId="0" fontId="17" fillId="0" borderId="0" xfId="0" applyFont="1" applyFill="1" applyAlignment="1" applyProtection="1">
      <alignment vertical="center"/>
      <protection locked="0"/>
    </xf>
    <xf numFmtId="0" fontId="17" fillId="29" borderId="0" xfId="0" applyFont="1" applyFill="1" applyAlignment="1" applyProtection="1">
      <alignment vertical="center"/>
      <protection locked="0"/>
    </xf>
    <xf numFmtId="0" fontId="17" fillId="29" borderId="0" xfId="0" applyFont="1" applyFill="1" applyAlignment="1">
      <alignment vertical="center"/>
    </xf>
    <xf numFmtId="0" fontId="17" fillId="0" borderId="0" xfId="0" applyFont="1" applyBorder="1" applyAlignment="1">
      <alignment vertical="center"/>
    </xf>
    <xf numFmtId="0" fontId="17" fillId="0" borderId="0" xfId="0" applyFont="1" applyBorder="1" applyAlignment="1" applyProtection="1">
      <alignment vertical="center"/>
      <protection locked="0"/>
    </xf>
    <xf numFmtId="0" fontId="17" fillId="26" borderId="0" xfId="0" applyFont="1" applyFill="1" applyBorder="1" applyAlignment="1">
      <alignment vertical="center"/>
    </xf>
    <xf numFmtId="10" fontId="17" fillId="0" borderId="0" xfId="0" applyNumberFormat="1" applyFont="1" applyFill="1" applyBorder="1" applyAlignment="1" applyProtection="1">
      <alignment vertical="center"/>
      <protection locked="0"/>
    </xf>
    <xf numFmtId="0" fontId="17" fillId="24" borderId="0" xfId="0" applyFont="1" applyFill="1"/>
    <xf numFmtId="49" fontId="17" fillId="28" borderId="0" xfId="0" applyNumberFormat="1" applyFont="1" applyFill="1" applyAlignment="1">
      <alignment vertical="center"/>
    </xf>
    <xf numFmtId="49" fontId="17" fillId="27" borderId="0" xfId="0" applyNumberFormat="1" applyFont="1" applyFill="1" applyAlignment="1">
      <alignment vertical="center"/>
    </xf>
    <xf numFmtId="0" fontId="36" fillId="0" borderId="0" xfId="0" applyNumberFormat="1" applyFont="1" applyAlignment="1">
      <alignment horizontal="left"/>
    </xf>
    <xf numFmtId="0" fontId="17" fillId="38" borderId="0" xfId="0" applyFont="1" applyFill="1" applyAlignment="1" applyProtection="1">
      <alignment vertical="center"/>
      <protection locked="0"/>
    </xf>
    <xf numFmtId="0" fontId="17" fillId="38" borderId="0" xfId="0" applyFont="1" applyFill="1" applyAlignment="1">
      <alignment vertical="center"/>
    </xf>
    <xf numFmtId="49" fontId="17" fillId="0" borderId="0" xfId="0" applyNumberFormat="1" applyFont="1" applyFill="1" applyAlignment="1">
      <alignment vertical="center"/>
    </xf>
    <xf numFmtId="49" fontId="35" fillId="0" borderId="0" xfId="0" applyNumberFormat="1" applyFont="1" applyFill="1" applyAlignment="1">
      <alignment vertical="center"/>
    </xf>
    <xf numFmtId="49" fontId="17" fillId="24" borderId="0" xfId="0" applyNumberFormat="1" applyFont="1" applyFill="1"/>
    <xf numFmtId="49" fontId="17" fillId="24" borderId="0" xfId="0" applyNumberFormat="1" applyFont="1" applyFill="1" applyAlignment="1">
      <alignment vertical="center"/>
    </xf>
    <xf numFmtId="49" fontId="17" fillId="25" borderId="0" xfId="0" applyNumberFormat="1" applyFont="1" applyFill="1" applyAlignment="1">
      <alignment vertical="center"/>
    </xf>
    <xf numFmtId="49" fontId="17" fillId="26" borderId="0" xfId="0" applyNumberFormat="1" applyFont="1" applyFill="1" applyAlignment="1">
      <alignment vertical="center"/>
    </xf>
    <xf numFmtId="49" fontId="17" fillId="38" borderId="0" xfId="0" applyNumberFormat="1" applyFont="1" applyFill="1" applyAlignment="1">
      <alignment vertical="center"/>
    </xf>
    <xf numFmtId="49" fontId="35" fillId="37" borderId="0" xfId="0" applyNumberFormat="1" applyFont="1" applyFill="1" applyAlignment="1">
      <alignment vertical="center"/>
    </xf>
    <xf numFmtId="49" fontId="17" fillId="29" borderId="0" xfId="0" applyNumberFormat="1" applyFont="1" applyFill="1" applyAlignment="1">
      <alignment vertical="center"/>
    </xf>
    <xf numFmtId="49" fontId="33" fillId="0" borderId="0" xfId="0" applyNumberFormat="1" applyFont="1"/>
    <xf numFmtId="0" fontId="33" fillId="0" borderId="0" xfId="0" applyFont="1" applyAlignment="1">
      <alignment vertical="center"/>
    </xf>
    <xf numFmtId="4" fontId="17" fillId="0" borderId="13" xfId="0" applyNumberFormat="1" applyFont="1" applyBorder="1" applyAlignment="1">
      <alignment vertical="center"/>
    </xf>
    <xf numFmtId="4" fontId="14" fillId="0" borderId="0" xfId="0" applyNumberFormat="1" applyFont="1" applyFill="1" applyAlignment="1">
      <alignment horizontal="right" vertical="center"/>
    </xf>
    <xf numFmtId="4" fontId="17" fillId="0" borderId="0" xfId="0" applyNumberFormat="1" applyFont="1" applyFill="1" applyAlignment="1">
      <alignment vertical="center"/>
    </xf>
    <xf numFmtId="4" fontId="10" fillId="0" borderId="0" xfId="0" applyNumberFormat="1" applyFont="1" applyAlignment="1" applyProtection="1">
      <alignment vertical="center"/>
    </xf>
    <xf numFmtId="0" fontId="0" fillId="0" borderId="18" xfId="0" applyBorder="1"/>
    <xf numFmtId="0" fontId="37" fillId="0" borderId="0" xfId="0" applyFont="1"/>
    <xf numFmtId="0" fontId="3" fillId="0" borderId="0" xfId="0" applyFont="1"/>
    <xf numFmtId="10" fontId="10" fillId="0" borderId="10" xfId="0" applyNumberFormat="1" applyFont="1" applyFill="1" applyBorder="1" applyAlignment="1">
      <alignment horizontal="center" vertical="center"/>
    </xf>
    <xf numFmtId="0" fontId="0" fillId="0" borderId="0" xfId="0" applyBorder="1"/>
    <xf numFmtId="0" fontId="10" fillId="0" borderId="0" xfId="0" applyFont="1" applyBorder="1"/>
    <xf numFmtId="0" fontId="3" fillId="0" borderId="0" xfId="0" applyFont="1" applyBorder="1"/>
    <xf numFmtId="0" fontId="37" fillId="0" borderId="18" xfId="0" applyFont="1" applyBorder="1"/>
    <xf numFmtId="0" fontId="38" fillId="0" borderId="18" xfId="0" applyFont="1" applyBorder="1"/>
    <xf numFmtId="2" fontId="8" fillId="0" borderId="0" xfId="0" applyNumberFormat="1" applyFont="1" applyFill="1" applyBorder="1" applyAlignment="1" applyProtection="1">
      <alignment vertical="center"/>
    </xf>
    <xf numFmtId="0" fontId="3" fillId="0" borderId="0" xfId="0" applyFont="1" applyFill="1" applyBorder="1" applyAlignment="1">
      <alignment horizontal="center"/>
    </xf>
    <xf numFmtId="0" fontId="0" fillId="0" borderId="0" xfId="0" applyFill="1" applyBorder="1"/>
    <xf numFmtId="0" fontId="17" fillId="0" borderId="19" xfId="0" applyFont="1" applyFill="1" applyBorder="1" applyAlignment="1">
      <alignment horizontal="center"/>
    </xf>
    <xf numFmtId="0" fontId="0" fillId="0" borderId="19" xfId="0" applyFill="1" applyBorder="1" applyAlignment="1">
      <alignment horizontal="center"/>
    </xf>
    <xf numFmtId="0" fontId="15" fillId="0" borderId="0" xfId="0" applyFont="1" applyFill="1"/>
    <xf numFmtId="0" fontId="39" fillId="0" borderId="0" xfId="0" applyFont="1" applyFill="1"/>
    <xf numFmtId="1" fontId="10" fillId="0" borderId="0" xfId="0" applyNumberFormat="1" applyFont="1" applyFill="1" applyBorder="1" applyAlignment="1">
      <alignment horizontal="center" vertical="top" wrapText="1"/>
    </xf>
    <xf numFmtId="1" fontId="0" fillId="0" borderId="0" xfId="0" applyNumberFormat="1" applyFill="1"/>
    <xf numFmtId="1" fontId="0" fillId="0" borderId="0" xfId="0" applyNumberFormat="1" applyFill="1" applyAlignment="1">
      <alignment horizontal="center"/>
    </xf>
    <xf numFmtId="0" fontId="27" fillId="0" borderId="0" xfId="0" applyFont="1" applyFill="1" applyAlignment="1">
      <alignment horizontal="left"/>
    </xf>
    <xf numFmtId="0" fontId="0" fillId="0" borderId="0" xfId="0" applyFill="1" applyAlignment="1">
      <alignment horizontal="left"/>
    </xf>
    <xf numFmtId="1" fontId="3" fillId="0" borderId="0" xfId="0" applyNumberFormat="1" applyFont="1" applyFill="1" applyBorder="1" applyAlignment="1">
      <alignment horizontal="center" vertical="top" wrapText="1"/>
    </xf>
    <xf numFmtId="0" fontId="0" fillId="0" borderId="15" xfId="0" applyFill="1" applyBorder="1"/>
    <xf numFmtId="0" fontId="0" fillId="0" borderId="15" xfId="0" applyFill="1" applyBorder="1" applyAlignment="1">
      <alignment horizontal="left"/>
    </xf>
    <xf numFmtId="0" fontId="0" fillId="0" borderId="18" xfId="0" applyFill="1" applyBorder="1"/>
    <xf numFmtId="0" fontId="0" fillId="0" borderId="18" xfId="0" applyFill="1" applyBorder="1" applyAlignment="1">
      <alignment horizontal="left"/>
    </xf>
    <xf numFmtId="1" fontId="10" fillId="0" borderId="18" xfId="0" applyNumberFormat="1" applyFont="1" applyFill="1" applyBorder="1" applyAlignment="1">
      <alignment horizontal="center" vertical="top" wrapText="1"/>
    </xf>
    <xf numFmtId="1" fontId="0" fillId="0" borderId="18" xfId="0" applyNumberFormat="1" applyFill="1" applyBorder="1" applyAlignment="1">
      <alignment horizontal="center"/>
    </xf>
    <xf numFmtId="0" fontId="0" fillId="0" borderId="12" xfId="0" applyFill="1" applyBorder="1"/>
    <xf numFmtId="0" fontId="0" fillId="0" borderId="12" xfId="0" applyFill="1" applyBorder="1" applyAlignment="1">
      <alignment horizontal="left"/>
    </xf>
    <xf numFmtId="0" fontId="40" fillId="0" borderId="0" xfId="0" quotePrefix="1" applyFont="1"/>
    <xf numFmtId="0" fontId="40" fillId="0" borderId="18" xfId="0" quotePrefix="1" applyFont="1" applyBorder="1"/>
    <xf numFmtId="0" fontId="0" fillId="0" borderId="10" xfId="0" applyFill="1" applyBorder="1"/>
    <xf numFmtId="2" fontId="0" fillId="0" borderId="0" xfId="0" applyNumberFormat="1" applyFill="1"/>
    <xf numFmtId="0" fontId="3" fillId="0" borderId="0" xfId="0" applyFont="1" applyFill="1" applyAlignment="1">
      <alignment horizontal="left"/>
    </xf>
    <xf numFmtId="0" fontId="10" fillId="0" borderId="10" xfId="0" applyFont="1" applyFill="1" applyBorder="1" applyAlignment="1">
      <alignment horizontal="right"/>
    </xf>
    <xf numFmtId="0" fontId="10" fillId="0" borderId="0" xfId="0" applyFont="1" applyFill="1" applyAlignment="1">
      <alignment horizontal="left"/>
    </xf>
    <xf numFmtId="0" fontId="3" fillId="30" borderId="0" xfId="0" applyFont="1" applyFill="1"/>
    <xf numFmtId="1" fontId="3" fillId="30" borderId="0" xfId="0" applyNumberFormat="1" applyFont="1" applyFill="1" applyAlignment="1">
      <alignment horizontal="center"/>
    </xf>
    <xf numFmtId="0" fontId="0" fillId="30" borderId="0" xfId="0" applyFill="1" applyAlignment="1">
      <alignment horizontal="center"/>
    </xf>
    <xf numFmtId="2" fontId="0" fillId="30" borderId="0" xfId="0" applyNumberFormat="1" applyFill="1" applyAlignment="1">
      <alignment horizontal="center"/>
    </xf>
    <xf numFmtId="2" fontId="28" fillId="30" borderId="0" xfId="0" applyNumberFormat="1" applyFont="1" applyFill="1" applyAlignment="1">
      <alignment horizontal="center"/>
    </xf>
    <xf numFmtId="0" fontId="3" fillId="26" borderId="0" xfId="0" applyFont="1" applyFill="1" applyAlignment="1">
      <alignment horizontal="center"/>
    </xf>
    <xf numFmtId="2" fontId="0" fillId="26" borderId="0" xfId="0" applyNumberFormat="1" applyFill="1" applyBorder="1" applyAlignment="1">
      <alignment horizontal="center"/>
    </xf>
    <xf numFmtId="0" fontId="0" fillId="28" borderId="19" xfId="0" applyFill="1" applyBorder="1" applyAlignment="1">
      <alignment horizontal="center"/>
    </xf>
    <xf numFmtId="2" fontId="0" fillId="30" borderId="0" xfId="0" applyNumberFormat="1" applyFill="1"/>
    <xf numFmtId="0" fontId="15" fillId="0" borderId="0" xfId="0" applyFont="1" applyFill="1" applyAlignment="1"/>
    <xf numFmtId="0" fontId="3" fillId="35" borderId="0" xfId="0" applyFont="1" applyFill="1"/>
    <xf numFmtId="1" fontId="3" fillId="35" borderId="0" xfId="0" applyNumberFormat="1" applyFont="1" applyFill="1" applyAlignment="1">
      <alignment horizontal="center"/>
    </xf>
    <xf numFmtId="0" fontId="0" fillId="35" borderId="0" xfId="0" applyFill="1" applyAlignment="1">
      <alignment horizontal="center"/>
    </xf>
    <xf numFmtId="0" fontId="10" fillId="0" borderId="18" xfId="0" applyFont="1" applyFill="1" applyBorder="1" applyAlignment="1">
      <alignment horizontal="center"/>
    </xf>
    <xf numFmtId="2" fontId="0" fillId="35" borderId="0" xfId="0" applyNumberFormat="1" applyFill="1" applyAlignment="1">
      <alignment horizontal="center"/>
    </xf>
    <xf numFmtId="2" fontId="28" fillId="35" borderId="0" xfId="0" applyNumberFormat="1" applyFont="1" applyFill="1" applyAlignment="1">
      <alignment horizontal="center"/>
    </xf>
    <xf numFmtId="2" fontId="0" fillId="35" borderId="0" xfId="0" applyNumberFormat="1" applyFill="1"/>
    <xf numFmtId="2" fontId="0" fillId="26" borderId="0" xfId="0" applyNumberFormat="1" applyFill="1"/>
    <xf numFmtId="0" fontId="3" fillId="0" borderId="18" xfId="0" applyFont="1" applyFill="1" applyBorder="1"/>
    <xf numFmtId="2" fontId="0" fillId="30" borderId="18" xfId="0" applyNumberFormat="1" applyFill="1" applyBorder="1"/>
    <xf numFmtId="2" fontId="0" fillId="0" borderId="18" xfId="0" applyNumberFormat="1" applyFill="1" applyBorder="1"/>
    <xf numFmtId="2" fontId="0" fillId="26" borderId="18" xfId="0" applyNumberFormat="1" applyFill="1" applyBorder="1"/>
    <xf numFmtId="2" fontId="0" fillId="26" borderId="0" xfId="0" applyNumberFormat="1" applyFill="1" applyBorder="1"/>
    <xf numFmtId="2" fontId="0" fillId="28" borderId="0" xfId="0" applyNumberFormat="1" applyFill="1"/>
    <xf numFmtId="2" fontId="0" fillId="28" borderId="18" xfId="0" applyNumberFormat="1" applyFill="1" applyBorder="1"/>
    <xf numFmtId="2" fontId="0" fillId="28" borderId="0" xfId="0" applyNumberFormat="1" applyFill="1" applyBorder="1"/>
    <xf numFmtId="0" fontId="24" fillId="0" borderId="0" xfId="0" applyFont="1" applyFill="1" applyAlignment="1">
      <alignment horizontal="center"/>
    </xf>
    <xf numFmtId="0" fontId="10" fillId="0" borderId="0" xfId="0" applyFont="1" applyFill="1" applyBorder="1" applyAlignment="1">
      <alignment horizontal="center"/>
    </xf>
    <xf numFmtId="0" fontId="10" fillId="0" borderId="0" xfId="0" applyFont="1" applyFill="1" applyAlignment="1">
      <alignment horizontal="center"/>
    </xf>
    <xf numFmtId="0" fontId="3" fillId="0" borderId="20" xfId="0" applyFont="1" applyFill="1" applyBorder="1" applyAlignment="1">
      <alignment horizontal="center"/>
    </xf>
    <xf numFmtId="0" fontId="3" fillId="0" borderId="21" xfId="0" applyFont="1" applyFill="1" applyBorder="1" applyAlignment="1">
      <alignment horizontal="center"/>
    </xf>
    <xf numFmtId="0" fontId="3" fillId="0" borderId="22" xfId="0" applyFont="1" applyFill="1" applyBorder="1" applyAlignment="1">
      <alignment horizontal="center"/>
    </xf>
    <xf numFmtId="0" fontId="3" fillId="0" borderId="23" xfId="0" applyFont="1" applyFill="1" applyBorder="1" applyAlignment="1">
      <alignment horizontal="center"/>
    </xf>
    <xf numFmtId="0" fontId="3" fillId="0" borderId="18" xfId="0" applyFont="1" applyFill="1" applyBorder="1" applyAlignment="1">
      <alignment horizontal="center"/>
    </xf>
    <xf numFmtId="0" fontId="3" fillId="0" borderId="24" xfId="0" applyFont="1" applyFill="1" applyBorder="1" applyAlignment="1">
      <alignment horizontal="center"/>
    </xf>
    <xf numFmtId="1" fontId="17" fillId="0" borderId="0" xfId="0" applyNumberFormat="1" applyFont="1" applyFill="1" applyBorder="1" applyAlignment="1" applyProtection="1">
      <alignment vertical="center"/>
      <protection locked="0"/>
    </xf>
    <xf numFmtId="1" fontId="17" fillId="0" borderId="0" xfId="0" applyNumberFormat="1" applyFont="1" applyFill="1" applyAlignment="1">
      <alignment vertical="center"/>
    </xf>
    <xf numFmtId="2" fontId="17" fillId="0" borderId="0" xfId="0" applyNumberFormat="1" applyFont="1" applyFill="1" applyAlignment="1">
      <alignment vertical="center"/>
    </xf>
    <xf numFmtId="0" fontId="14" fillId="26" borderId="25" xfId="0" applyFont="1" applyFill="1" applyBorder="1" applyAlignment="1" applyProtection="1">
      <alignment vertical="center"/>
      <protection locked="0"/>
    </xf>
    <xf numFmtId="0" fontId="0" fillId="0" borderId="0" xfId="0" applyFill="1" applyBorder="1" applyAlignment="1">
      <alignment horizontal="left"/>
    </xf>
    <xf numFmtId="1" fontId="0" fillId="0" borderId="0" xfId="0" applyNumberFormat="1" applyFill="1" applyBorder="1" applyAlignment="1">
      <alignment horizontal="center"/>
    </xf>
    <xf numFmtId="1" fontId="3" fillId="0" borderId="0" xfId="0" applyNumberFormat="1" applyFont="1" applyFill="1" applyBorder="1" applyAlignment="1">
      <alignment horizontal="center"/>
    </xf>
    <xf numFmtId="1" fontId="0" fillId="0" borderId="0" xfId="0" applyNumberFormat="1" applyFill="1" applyBorder="1"/>
    <xf numFmtId="1" fontId="3" fillId="28" borderId="12" xfId="0" applyNumberFormat="1" applyFont="1" applyFill="1" applyBorder="1" applyAlignment="1">
      <alignment horizontal="center"/>
    </xf>
    <xf numFmtId="1" fontId="0" fillId="28" borderId="0" xfId="0" applyNumberFormat="1" applyFill="1" applyAlignment="1">
      <alignment horizontal="center"/>
    </xf>
    <xf numFmtId="1" fontId="3" fillId="28" borderId="0" xfId="0" applyNumberFormat="1" applyFont="1" applyFill="1" applyAlignment="1">
      <alignment horizontal="center"/>
    </xf>
    <xf numFmtId="1" fontId="3" fillId="30" borderId="0" xfId="0" applyNumberFormat="1" applyFont="1" applyFill="1" applyBorder="1" applyAlignment="1">
      <alignment horizontal="center" vertical="top" wrapText="1"/>
    </xf>
    <xf numFmtId="1" fontId="3" fillId="30" borderId="15" xfId="0" applyNumberFormat="1" applyFont="1" applyFill="1" applyBorder="1" applyAlignment="1">
      <alignment horizontal="center" vertical="top" wrapText="1"/>
    </xf>
    <xf numFmtId="1" fontId="3" fillId="30" borderId="12" xfId="0" applyNumberFormat="1" applyFont="1" applyFill="1" applyBorder="1" applyAlignment="1">
      <alignment horizontal="center" vertical="top" wrapText="1"/>
    </xf>
    <xf numFmtId="1" fontId="10" fillId="30" borderId="0" xfId="0" applyNumberFormat="1" applyFont="1" applyFill="1" applyBorder="1" applyAlignment="1">
      <alignment horizontal="center" vertical="top" wrapText="1"/>
    </xf>
    <xf numFmtId="1" fontId="10" fillId="30" borderId="15" xfId="0" applyNumberFormat="1" applyFont="1" applyFill="1" applyBorder="1" applyAlignment="1">
      <alignment horizontal="center" vertical="top" wrapText="1"/>
    </xf>
    <xf numFmtId="1" fontId="10" fillId="30" borderId="12" xfId="0" applyNumberFormat="1" applyFont="1" applyFill="1" applyBorder="1" applyAlignment="1">
      <alignment horizontal="center" vertical="top" wrapText="1"/>
    </xf>
    <xf numFmtId="1" fontId="3" fillId="26" borderId="0" xfId="0" applyNumberFormat="1" applyFont="1" applyFill="1" applyAlignment="1">
      <alignment horizontal="center"/>
    </xf>
    <xf numFmtId="1" fontId="3" fillId="26" borderId="15" xfId="0" applyNumberFormat="1" applyFont="1" applyFill="1" applyBorder="1" applyAlignment="1">
      <alignment horizontal="center"/>
    </xf>
    <xf numFmtId="1" fontId="3" fillId="30" borderId="14" xfId="0" applyNumberFormat="1" applyFont="1" applyFill="1" applyBorder="1" applyAlignment="1">
      <alignment horizontal="center" vertical="top" wrapText="1"/>
    </xf>
    <xf numFmtId="1" fontId="3" fillId="30" borderId="26" xfId="0" applyNumberFormat="1" applyFont="1" applyFill="1" applyBorder="1" applyAlignment="1">
      <alignment horizontal="center"/>
    </xf>
    <xf numFmtId="2" fontId="1" fillId="30" borderId="26" xfId="0" applyNumberFormat="1" applyFont="1" applyFill="1" applyBorder="1" applyAlignment="1">
      <alignment horizontal="center"/>
    </xf>
    <xf numFmtId="2" fontId="1" fillId="30" borderId="0" xfId="0" applyNumberFormat="1" applyFont="1" applyFill="1" applyAlignment="1">
      <alignment horizontal="center"/>
    </xf>
    <xf numFmtId="2" fontId="1" fillId="35" borderId="26" xfId="0" applyNumberFormat="1" applyFont="1" applyFill="1" applyBorder="1" applyAlignment="1">
      <alignment horizontal="center"/>
    </xf>
    <xf numFmtId="2" fontId="1" fillId="35" borderId="0" xfId="0" applyNumberFormat="1" applyFont="1" applyFill="1" applyAlignment="1">
      <alignment horizontal="center"/>
    </xf>
    <xf numFmtId="0" fontId="17" fillId="0" borderId="0" xfId="0" applyFont="1" applyFill="1" applyBorder="1" applyAlignment="1" applyProtection="1">
      <alignment vertical="center"/>
    </xf>
    <xf numFmtId="0" fontId="3" fillId="0" borderId="26" xfId="0" applyFont="1" applyFill="1" applyBorder="1"/>
    <xf numFmtId="1" fontId="3" fillId="0" borderId="26" xfId="0" applyNumberFormat="1" applyFont="1" applyFill="1" applyBorder="1" applyAlignment="1">
      <alignment horizontal="center"/>
    </xf>
    <xf numFmtId="3" fontId="0" fillId="0" borderId="26" xfId="0" applyNumberFormat="1" applyFill="1" applyBorder="1" applyAlignment="1">
      <alignment horizontal="center"/>
    </xf>
    <xf numFmtId="3" fontId="0" fillId="0" borderId="0" xfId="0" applyNumberFormat="1" applyFill="1" applyAlignment="1">
      <alignment horizontal="center"/>
    </xf>
    <xf numFmtId="3" fontId="0" fillId="0" borderId="15" xfId="0" applyNumberFormat="1" applyFill="1" applyBorder="1" applyAlignment="1">
      <alignment horizontal="center"/>
    </xf>
    <xf numFmtId="4" fontId="10" fillId="0" borderId="17" xfId="0" applyNumberFormat="1" applyFont="1" applyFill="1" applyBorder="1" applyAlignment="1">
      <alignment horizontal="center" vertical="center"/>
    </xf>
    <xf numFmtId="0" fontId="17" fillId="0" borderId="0" xfId="0" applyFont="1" applyBorder="1" applyAlignment="1">
      <alignment horizontal="left" vertical="center"/>
    </xf>
    <xf numFmtId="0" fontId="17" fillId="39" borderId="0" xfId="0" applyFont="1" applyFill="1" applyAlignment="1" applyProtection="1">
      <alignment vertical="center"/>
      <protection locked="0"/>
    </xf>
    <xf numFmtId="0" fontId="17" fillId="39" borderId="0" xfId="0" applyFont="1" applyFill="1" applyAlignment="1">
      <alignment vertical="center"/>
    </xf>
    <xf numFmtId="9" fontId="17" fillId="39" borderId="0" xfId="0" applyNumberFormat="1" applyFont="1" applyFill="1" applyAlignment="1">
      <alignment horizontal="left" vertical="center"/>
    </xf>
    <xf numFmtId="49" fontId="17" fillId="39" borderId="0" xfId="0" applyNumberFormat="1" applyFont="1" applyFill="1" applyAlignment="1">
      <alignment vertical="center"/>
    </xf>
    <xf numFmtId="0" fontId="17" fillId="39" borderId="0" xfId="0" quotePrefix="1" applyFont="1" applyFill="1" applyBorder="1" applyAlignment="1">
      <alignment vertical="center"/>
    </xf>
    <xf numFmtId="0" fontId="17" fillId="39" borderId="0" xfId="0" applyFont="1" applyFill="1" applyBorder="1" applyAlignment="1">
      <alignment vertical="center"/>
    </xf>
    <xf numFmtId="49" fontId="17" fillId="39" borderId="0" xfId="0" applyNumberFormat="1" applyFont="1" applyFill="1" applyBorder="1" applyAlignment="1">
      <alignment vertical="center"/>
    </xf>
    <xf numFmtId="4" fontId="17" fillId="28" borderId="13" xfId="0" applyNumberFormat="1" applyFont="1" applyFill="1" applyBorder="1" applyAlignment="1">
      <alignment vertical="center"/>
    </xf>
    <xf numFmtId="4" fontId="17" fillId="28" borderId="12" xfId="0" applyNumberFormat="1" applyFont="1" applyFill="1" applyBorder="1" applyAlignment="1">
      <alignment vertical="center"/>
    </xf>
    <xf numFmtId="4" fontId="17" fillId="27" borderId="13" xfId="0" applyNumberFormat="1" applyFont="1" applyFill="1" applyBorder="1" applyAlignment="1">
      <alignment vertical="center"/>
    </xf>
    <xf numFmtId="4" fontId="17" fillId="26" borderId="13" xfId="0" applyNumberFormat="1" applyFont="1" applyFill="1" applyBorder="1" applyAlignment="1">
      <alignment vertical="center"/>
    </xf>
    <xf numFmtId="3" fontId="17" fillId="0" borderId="13" xfId="0" applyNumberFormat="1" applyFont="1" applyFill="1" applyBorder="1" applyAlignment="1">
      <alignment vertical="center"/>
    </xf>
    <xf numFmtId="4" fontId="10" fillId="0" borderId="0" xfId="0" applyNumberFormat="1" applyFont="1" applyFill="1" applyBorder="1" applyAlignment="1" applyProtection="1">
      <alignment vertical="center"/>
    </xf>
    <xf numFmtId="3" fontId="10" fillId="0" borderId="0" xfId="0" applyNumberFormat="1" applyFont="1" applyFill="1" applyBorder="1" applyAlignment="1" applyProtection="1">
      <alignment vertical="center"/>
    </xf>
    <xf numFmtId="0" fontId="10" fillId="40" borderId="0" xfId="0" applyFont="1" applyFill="1" applyBorder="1" applyAlignment="1" applyProtection="1">
      <alignment vertical="center"/>
    </xf>
    <xf numFmtId="0" fontId="17" fillId="40" borderId="0" xfId="0" applyFont="1" applyFill="1" applyBorder="1" applyAlignment="1" applyProtection="1">
      <alignment vertical="center"/>
    </xf>
    <xf numFmtId="0" fontId="31" fillId="40" borderId="0" xfId="0" applyFont="1" applyFill="1" applyBorder="1" applyAlignment="1" applyProtection="1">
      <alignment vertical="center"/>
    </xf>
    <xf numFmtId="0" fontId="23" fillId="40" borderId="0" xfId="0" applyFont="1" applyFill="1" applyBorder="1" applyAlignment="1" applyProtection="1">
      <alignment vertical="center"/>
    </xf>
    <xf numFmtId="0" fontId="25" fillId="40" borderId="0" xfId="0" applyFont="1" applyFill="1" applyBorder="1" applyAlignment="1" applyProtection="1">
      <alignment vertical="center"/>
    </xf>
    <xf numFmtId="0" fontId="21" fillId="40" borderId="0" xfId="0" applyFont="1" applyFill="1" applyBorder="1" applyAlignment="1" applyProtection="1">
      <alignment vertical="center"/>
    </xf>
    <xf numFmtId="0" fontId="19" fillId="40" borderId="0" xfId="0" applyFont="1" applyFill="1" applyBorder="1" applyAlignment="1" applyProtection="1">
      <alignment vertical="center"/>
    </xf>
    <xf numFmtId="0" fontId="10" fillId="40" borderId="0" xfId="0" applyFont="1" applyFill="1" applyBorder="1" applyAlignment="1" applyProtection="1">
      <alignment horizontal="right" vertical="center"/>
    </xf>
    <xf numFmtId="0" fontId="10" fillId="40" borderId="0" xfId="0" applyFont="1" applyFill="1" applyAlignment="1">
      <alignment vertical="center"/>
    </xf>
    <xf numFmtId="0" fontId="17" fillId="0" borderId="0" xfId="0" applyFont="1" applyFill="1" applyAlignment="1" applyProtection="1">
      <alignment horizontal="left" vertical="center"/>
    </xf>
    <xf numFmtId="2" fontId="17" fillId="0" borderId="0" xfId="0" applyNumberFormat="1" applyFont="1" applyFill="1" applyAlignment="1" applyProtection="1">
      <alignment horizontal="left" vertical="center"/>
    </xf>
    <xf numFmtId="9" fontId="11" fillId="0" borderId="0" xfId="0" applyNumberFormat="1" applyFont="1" applyFill="1" applyBorder="1" applyAlignment="1" applyProtection="1">
      <alignment vertical="center"/>
      <protection locked="0"/>
    </xf>
    <xf numFmtId="4" fontId="3" fillId="0" borderId="14" xfId="0" applyNumberFormat="1" applyFont="1" applyBorder="1" applyAlignment="1" applyProtection="1">
      <alignment vertical="center"/>
    </xf>
    <xf numFmtId="167" fontId="10" fillId="30" borderId="12" xfId="0" applyNumberFormat="1" applyFont="1" applyFill="1" applyBorder="1" applyAlignment="1" applyProtection="1">
      <alignment horizontal="center" vertical="center"/>
    </xf>
    <xf numFmtId="0" fontId="33" fillId="40" borderId="0" xfId="0" applyFont="1" applyFill="1"/>
    <xf numFmtId="165" fontId="17" fillId="0" borderId="0" xfId="0" applyNumberFormat="1" applyFont="1" applyBorder="1" applyAlignment="1">
      <alignment horizontal="center" vertical="top" wrapText="1"/>
    </xf>
    <xf numFmtId="4" fontId="17" fillId="0" borderId="16" xfId="0" applyNumberFormat="1" applyFont="1" applyBorder="1" applyAlignment="1">
      <alignment vertical="center"/>
    </xf>
    <xf numFmtId="164" fontId="17" fillId="0" borderId="27" xfId="0" applyNumberFormat="1" applyFont="1" applyBorder="1" applyAlignment="1" applyProtection="1">
      <alignment vertical="center"/>
      <protection locked="0"/>
    </xf>
    <xf numFmtId="4" fontId="17" fillId="0" borderId="17" xfId="0" applyNumberFormat="1" applyFont="1" applyBorder="1" applyAlignment="1" applyProtection="1">
      <alignment vertical="center"/>
      <protection locked="0"/>
    </xf>
    <xf numFmtId="164" fontId="14" fillId="0" borderId="0" xfId="0" applyNumberFormat="1" applyFont="1" applyBorder="1" applyAlignment="1" applyProtection="1">
      <alignment vertical="center"/>
      <protection locked="0"/>
    </xf>
    <xf numFmtId="0" fontId="14" fillId="30" borderId="28" xfId="0" applyFont="1" applyFill="1" applyBorder="1" applyAlignment="1">
      <alignment vertical="center"/>
    </xf>
    <xf numFmtId="1" fontId="17" fillId="35" borderId="0" xfId="0" applyNumberFormat="1" applyFont="1" applyFill="1" applyAlignment="1" applyProtection="1">
      <alignment vertical="center"/>
      <protection locked="0"/>
    </xf>
    <xf numFmtId="0" fontId="17" fillId="0" borderId="0" xfId="0" applyFont="1" applyAlignment="1">
      <alignment horizontal="left" vertical="center"/>
    </xf>
    <xf numFmtId="0" fontId="17" fillId="0" borderId="0" xfId="0" applyFont="1" applyFill="1" applyAlignment="1">
      <alignment horizontal="left" vertical="center"/>
    </xf>
    <xf numFmtId="0" fontId="35" fillId="0" borderId="0" xfId="0" applyFont="1" applyFill="1" applyAlignment="1">
      <alignment horizontal="left" vertical="center"/>
    </xf>
    <xf numFmtId="0" fontId="35" fillId="37" borderId="0" xfId="0" applyFont="1" applyFill="1" applyAlignment="1">
      <alignment horizontal="left" vertical="center"/>
    </xf>
    <xf numFmtId="0" fontId="17" fillId="24" borderId="0" xfId="0" applyFont="1" applyFill="1" applyAlignment="1">
      <alignment horizontal="left" vertical="center"/>
    </xf>
    <xf numFmtId="3" fontId="17" fillId="24" borderId="0" xfId="0" applyNumberFormat="1" applyFont="1" applyFill="1" applyAlignment="1">
      <alignment horizontal="left" vertical="center"/>
    </xf>
    <xf numFmtId="1" fontId="17" fillId="24" borderId="0" xfId="0" applyNumberFormat="1" applyFont="1" applyFill="1" applyAlignment="1">
      <alignment horizontal="left" vertical="center"/>
    </xf>
    <xf numFmtId="0" fontId="17" fillId="25" borderId="0" xfId="0" applyFont="1" applyFill="1" applyAlignment="1">
      <alignment horizontal="left" vertical="center"/>
    </xf>
    <xf numFmtId="0" fontId="17" fillId="26" borderId="0" xfId="0" applyFont="1" applyFill="1" applyAlignment="1">
      <alignment horizontal="left" vertical="center"/>
    </xf>
    <xf numFmtId="0" fontId="17" fillId="27" borderId="0" xfId="0" applyFont="1" applyFill="1" applyAlignment="1">
      <alignment horizontal="left" vertical="center"/>
    </xf>
    <xf numFmtId="0" fontId="17" fillId="38" borderId="0" xfId="0" applyFont="1" applyFill="1" applyAlignment="1">
      <alignment horizontal="left" vertical="center"/>
    </xf>
    <xf numFmtId="0" fontId="17" fillId="28" borderId="0" xfId="0" applyFont="1" applyFill="1" applyAlignment="1">
      <alignment horizontal="left" vertical="center"/>
    </xf>
    <xf numFmtId="0" fontId="17" fillId="29" borderId="0" xfId="0" applyFont="1" applyFill="1" applyAlignment="1">
      <alignment horizontal="left" vertical="center"/>
    </xf>
    <xf numFmtId="0" fontId="17" fillId="39" borderId="0" xfId="0" applyFont="1" applyFill="1" applyAlignment="1">
      <alignment horizontal="left" vertical="center"/>
    </xf>
    <xf numFmtId="0" fontId="17" fillId="39" borderId="0" xfId="0" applyFont="1" applyFill="1" applyBorder="1" applyAlignment="1">
      <alignment horizontal="left" vertical="center"/>
    </xf>
    <xf numFmtId="2" fontId="17" fillId="0" borderId="0" xfId="0" applyNumberFormat="1" applyFont="1" applyFill="1" applyBorder="1" applyAlignment="1">
      <alignment horizontal="left" vertical="center"/>
    </xf>
    <xf numFmtId="0" fontId="8" fillId="0" borderId="0" xfId="0" applyFont="1" applyFill="1" applyBorder="1" applyAlignment="1">
      <alignment vertical="center"/>
    </xf>
    <xf numFmtId="0" fontId="10" fillId="0" borderId="15" xfId="0" applyFont="1" applyBorder="1" applyAlignment="1" applyProtection="1">
      <alignment horizontal="right" vertical="center"/>
    </xf>
    <xf numFmtId="3" fontId="10" fillId="0" borderId="15" xfId="0" applyNumberFormat="1" applyFont="1" applyBorder="1" applyAlignment="1" applyProtection="1">
      <alignment vertical="center"/>
    </xf>
    <xf numFmtId="3" fontId="17" fillId="0" borderId="12" xfId="0" applyNumberFormat="1" applyFont="1" applyBorder="1" applyAlignment="1" applyProtection="1">
      <alignment vertical="center"/>
    </xf>
    <xf numFmtId="0" fontId="21" fillId="0" borderId="0" xfId="0" applyFont="1" applyFill="1" applyBorder="1" applyAlignment="1" applyProtection="1">
      <alignment vertical="center"/>
    </xf>
    <xf numFmtId="3" fontId="17" fillId="0" borderId="0" xfId="0" applyNumberFormat="1" applyFont="1" applyBorder="1" applyAlignment="1" applyProtection="1">
      <alignment vertical="center"/>
      <protection locked="0"/>
    </xf>
    <xf numFmtId="0" fontId="0" fillId="27" borderId="0" xfId="0" applyFill="1" applyAlignment="1">
      <alignment vertical="center"/>
    </xf>
    <xf numFmtId="0" fontId="3" fillId="27" borderId="0" xfId="0" applyFont="1" applyFill="1" applyAlignment="1">
      <alignment vertical="center"/>
    </xf>
    <xf numFmtId="2" fontId="0" fillId="27" borderId="0" xfId="0" applyNumberFormat="1" applyFill="1" applyAlignment="1">
      <alignment vertical="center"/>
    </xf>
    <xf numFmtId="0" fontId="59" fillId="0" borderId="29" xfId="35" applyFont="1" applyBorder="1" applyProtection="1">
      <protection locked="0"/>
    </xf>
    <xf numFmtId="0" fontId="59" fillId="0" borderId="30" xfId="35" applyFont="1" applyBorder="1" applyProtection="1">
      <protection locked="0"/>
    </xf>
    <xf numFmtId="0" fontId="24" fillId="0" borderId="0" xfId="35" applyFont="1"/>
    <xf numFmtId="0" fontId="8" fillId="0" borderId="12" xfId="35" applyFont="1" applyBorder="1"/>
    <xf numFmtId="0" fontId="8" fillId="0" borderId="13" xfId="35" applyFont="1" applyBorder="1"/>
    <xf numFmtId="0" fontId="8" fillId="0" borderId="19" xfId="35" applyFont="1" applyBorder="1" applyProtection="1">
      <protection locked="0"/>
    </xf>
    <xf numFmtId="0" fontId="8" fillId="0" borderId="31" xfId="35" applyFont="1" applyBorder="1" applyProtection="1">
      <protection locked="0"/>
    </xf>
    <xf numFmtId="0" fontId="8" fillId="0" borderId="0" xfId="35" applyFont="1"/>
    <xf numFmtId="0" fontId="24" fillId="0" borderId="10" xfId="35" applyFont="1" applyBorder="1"/>
    <xf numFmtId="0" fontId="8" fillId="0" borderId="10" xfId="35" applyFont="1" applyBorder="1"/>
    <xf numFmtId="0" fontId="8" fillId="0" borderId="32" xfId="35" applyFont="1" applyBorder="1" applyProtection="1">
      <protection locked="0"/>
    </xf>
    <xf numFmtId="0" fontId="8" fillId="0" borderId="33" xfId="35" applyFont="1" applyBorder="1" applyProtection="1">
      <protection locked="0"/>
    </xf>
    <xf numFmtId="0" fontId="8" fillId="0" borderId="0" xfId="35" applyFont="1" applyProtection="1">
      <protection locked="0"/>
    </xf>
    <xf numFmtId="0" fontId="59" fillId="0" borderId="29" xfId="35" applyFont="1" applyBorder="1" applyAlignment="1" applyProtection="1">
      <alignment wrapText="1"/>
      <protection locked="0"/>
    </xf>
    <xf numFmtId="0" fontId="8" fillId="0" borderId="12" xfId="35" applyFont="1" applyBorder="1" applyAlignment="1">
      <alignment horizontal="center"/>
    </xf>
    <xf numFmtId="9" fontId="8" fillId="0" borderId="12" xfId="35" applyNumberFormat="1" applyFont="1" applyBorder="1" applyAlignment="1">
      <alignment horizontal="center"/>
    </xf>
    <xf numFmtId="0" fontId="8" fillId="0" borderId="19" xfId="35" applyFont="1" applyBorder="1" applyAlignment="1" applyProtection="1">
      <alignment wrapText="1"/>
      <protection locked="0"/>
    </xf>
    <xf numFmtId="0" fontId="8" fillId="0" borderId="0" xfId="35" applyFont="1" applyBorder="1"/>
    <xf numFmtId="2" fontId="8" fillId="0" borderId="0" xfId="35" applyNumberFormat="1" applyFont="1" applyBorder="1"/>
    <xf numFmtId="0" fontId="59" fillId="0" borderId="11" xfId="35" applyFont="1" applyBorder="1" applyProtection="1">
      <protection locked="0"/>
    </xf>
    <xf numFmtId="9" fontId="8" fillId="41" borderId="0" xfId="35" applyNumberFormat="1" applyFont="1" applyFill="1" applyAlignment="1">
      <alignment horizontal="left"/>
    </xf>
    <xf numFmtId="0" fontId="8" fillId="0" borderId="0" xfId="35" applyFont="1" applyAlignment="1">
      <alignment horizontal="left"/>
    </xf>
    <xf numFmtId="0" fontId="59" fillId="0" borderId="0" xfId="35" applyFont="1" applyBorder="1" applyProtection="1">
      <protection locked="0"/>
    </xf>
    <xf numFmtId="0" fontId="8" fillId="0" borderId="0" xfId="35" applyFont="1" applyBorder="1" applyAlignment="1">
      <alignment horizontal="center"/>
    </xf>
    <xf numFmtId="0" fontId="24" fillId="0" borderId="0" xfId="35" applyFont="1" applyAlignment="1">
      <alignment horizontal="left"/>
    </xf>
    <xf numFmtId="0" fontId="24" fillId="0" borderId="0" xfId="35" applyFont="1" applyBorder="1"/>
    <xf numFmtId="0" fontId="60" fillId="0" borderId="0" xfId="35" applyFont="1" applyProtection="1">
      <protection locked="0"/>
    </xf>
    <xf numFmtId="9" fontId="8" fillId="0" borderId="19" xfId="35" applyNumberFormat="1" applyFont="1" applyBorder="1" applyAlignment="1" applyProtection="1">
      <alignment horizontal="left"/>
      <protection locked="0"/>
    </xf>
    <xf numFmtId="9" fontId="8" fillId="41" borderId="19" xfId="35" applyNumberFormat="1" applyFont="1" applyFill="1" applyBorder="1" applyAlignment="1" applyProtection="1">
      <alignment horizontal="left"/>
      <protection locked="0"/>
    </xf>
    <xf numFmtId="9" fontId="8" fillId="0" borderId="0" xfId="35" applyNumberFormat="1" applyFont="1" applyBorder="1" applyAlignment="1" applyProtection="1">
      <alignment horizontal="left"/>
      <protection locked="0"/>
    </xf>
    <xf numFmtId="0" fontId="8" fillId="0" borderId="0" xfId="35" applyFont="1" applyBorder="1" applyProtection="1">
      <protection locked="0"/>
    </xf>
    <xf numFmtId="0" fontId="24" fillId="0" borderId="0" xfId="35" applyFont="1" applyAlignment="1">
      <alignment horizontal="center"/>
    </xf>
    <xf numFmtId="0" fontId="9" fillId="0" borderId="0" xfId="35"/>
    <xf numFmtId="0" fontId="10" fillId="0" borderId="0" xfId="35" applyFont="1"/>
    <xf numFmtId="0" fontId="5" fillId="0" borderId="0" xfId="35" applyFont="1"/>
    <xf numFmtId="9" fontId="3" fillId="0" borderId="0" xfId="35" applyNumberFormat="1" applyFont="1" applyAlignment="1">
      <alignment horizontal="right"/>
    </xf>
    <xf numFmtId="0" fontId="3" fillId="0" borderId="0" xfId="35" applyFont="1"/>
    <xf numFmtId="0" fontId="10" fillId="0" borderId="0" xfId="35" applyFont="1" applyAlignment="1">
      <alignment horizontal="right"/>
    </xf>
    <xf numFmtId="12" fontId="3" fillId="0" borderId="0" xfId="35" applyNumberFormat="1" applyFont="1" applyAlignment="1">
      <alignment horizontal="right"/>
    </xf>
    <xf numFmtId="3" fontId="10" fillId="0" borderId="0" xfId="35" applyNumberFormat="1" applyFont="1" applyAlignment="1">
      <alignment horizontal="right"/>
    </xf>
    <xf numFmtId="9" fontId="3" fillId="0" borderId="0" xfId="35" applyNumberFormat="1" applyFont="1" applyAlignment="1">
      <alignment horizontal="center"/>
    </xf>
    <xf numFmtId="0" fontId="29" fillId="0" borderId="0" xfId="35" applyFont="1"/>
    <xf numFmtId="0" fontId="10" fillId="0" borderId="16" xfId="35" applyFont="1" applyBorder="1" applyAlignment="1">
      <alignment horizontal="center" vertical="center" wrapText="1"/>
    </xf>
    <xf numFmtId="0" fontId="60" fillId="0" borderId="0" xfId="35" applyFont="1"/>
    <xf numFmtId="0" fontId="10" fillId="0" borderId="17" xfId="35" applyFont="1" applyBorder="1" applyAlignment="1">
      <alignment horizontal="center" vertical="center" wrapText="1"/>
    </xf>
    <xf numFmtId="0" fontId="10" fillId="0" borderId="32" xfId="35" applyFont="1" applyBorder="1" applyAlignment="1">
      <alignment horizontal="center" vertical="center" wrapText="1"/>
    </xf>
    <xf numFmtId="0" fontId="10" fillId="0" borderId="15" xfId="35" applyFont="1" applyBorder="1" applyAlignment="1">
      <alignment horizontal="center" vertical="center" wrapText="1"/>
    </xf>
    <xf numFmtId="0" fontId="10" fillId="0" borderId="33" xfId="35" applyFont="1" applyBorder="1" applyAlignment="1">
      <alignment horizontal="center" vertical="center" wrapText="1"/>
    </xf>
    <xf numFmtId="0" fontId="10" fillId="0" borderId="10" xfId="35" applyFont="1" applyBorder="1" applyAlignment="1">
      <alignment horizontal="center" vertical="center" wrapText="1"/>
    </xf>
    <xf numFmtId="169" fontId="25" fillId="0" borderId="12" xfId="35" applyNumberFormat="1" applyFont="1" applyBorder="1" applyAlignment="1">
      <alignment vertical="top" wrapText="1"/>
    </xf>
    <xf numFmtId="169" fontId="25" fillId="0" borderId="13" xfId="35" applyNumberFormat="1" applyFont="1" applyBorder="1" applyAlignment="1">
      <alignment vertical="top" wrapText="1"/>
    </xf>
    <xf numFmtId="169" fontId="10" fillId="0" borderId="11" xfId="35" applyNumberFormat="1" applyFont="1" applyBorder="1" applyAlignment="1">
      <alignment horizontal="left"/>
    </xf>
    <xf numFmtId="2" fontId="3" fillId="0" borderId="11" xfId="35" applyNumberFormat="1" applyFont="1" applyBorder="1" applyAlignment="1">
      <alignment horizontal="right" vertical="center" wrapText="1"/>
    </xf>
    <xf numFmtId="170" fontId="3" fillId="0" borderId="13" xfId="35" applyNumberFormat="1" applyFont="1" applyBorder="1" applyAlignment="1">
      <alignment horizontal="right" vertical="center" wrapText="1"/>
    </xf>
    <xf numFmtId="2" fontId="10" fillId="0" borderId="11" xfId="35" applyNumberFormat="1" applyFont="1" applyBorder="1" applyAlignment="1">
      <alignment horizontal="right" vertical="center" wrapText="1"/>
    </xf>
    <xf numFmtId="170" fontId="10" fillId="0" borderId="13" xfId="35" applyNumberFormat="1" applyFont="1" applyBorder="1" applyAlignment="1">
      <alignment horizontal="right" vertical="center" wrapText="1"/>
    </xf>
    <xf numFmtId="0" fontId="10" fillId="0" borderId="13" xfId="35" applyFont="1" applyBorder="1"/>
    <xf numFmtId="0" fontId="26" fillId="0" borderId="13" xfId="35" applyFont="1" applyBorder="1"/>
    <xf numFmtId="1" fontId="35" fillId="42" borderId="0" xfId="0" applyNumberFormat="1" applyFont="1" applyFill="1" applyBorder="1" applyAlignment="1" applyProtection="1">
      <alignment vertical="center"/>
      <protection locked="0"/>
    </xf>
    <xf numFmtId="0" fontId="35" fillId="42" borderId="0" xfId="0" applyFont="1" applyFill="1" applyBorder="1" applyAlignment="1">
      <alignment vertical="center"/>
    </xf>
    <xf numFmtId="0" fontId="35" fillId="0" borderId="0" xfId="0" applyFont="1" applyAlignment="1">
      <alignment vertical="center"/>
    </xf>
    <xf numFmtId="0" fontId="35" fillId="42" borderId="0" xfId="0" applyFont="1" applyFill="1" applyAlignment="1">
      <alignment vertical="center"/>
    </xf>
    <xf numFmtId="0" fontId="61" fillId="0" borderId="0" xfId="35" applyFont="1" applyAlignment="1">
      <alignment vertical="center"/>
    </xf>
    <xf numFmtId="0" fontId="5" fillId="0" borderId="0" xfId="35" applyFont="1" applyAlignment="1">
      <alignment vertical="center"/>
    </xf>
    <xf numFmtId="0" fontId="36" fillId="0" borderId="0" xfId="35" applyFont="1" applyFill="1" applyAlignment="1">
      <alignment vertical="center"/>
    </xf>
    <xf numFmtId="0" fontId="62" fillId="0" borderId="0" xfId="35" applyFont="1" applyFill="1" applyAlignment="1">
      <alignment vertical="center"/>
    </xf>
    <xf numFmtId="49" fontId="3" fillId="0" borderId="0" xfId="0" applyNumberFormat="1" applyFont="1" applyAlignment="1">
      <alignment horizontal="left"/>
    </xf>
    <xf numFmtId="0" fontId="10" fillId="0" borderId="0" xfId="0" applyFont="1"/>
    <xf numFmtId="4" fontId="10" fillId="0" borderId="0" xfId="0" applyNumberFormat="1" applyFont="1"/>
    <xf numFmtId="49" fontId="10" fillId="0" borderId="0" xfId="0" applyNumberFormat="1" applyFont="1" applyAlignment="1">
      <alignment horizontal="left"/>
    </xf>
    <xf numFmtId="4" fontId="10" fillId="0" borderId="0" xfId="0" applyNumberFormat="1" applyFont="1" applyAlignment="1">
      <alignment horizontal="right"/>
    </xf>
    <xf numFmtId="0" fontId="10" fillId="0" borderId="0" xfId="0" applyFont="1" applyFill="1"/>
    <xf numFmtId="0" fontId="16" fillId="0" borderId="0" xfId="0" applyFont="1"/>
    <xf numFmtId="4" fontId="10" fillId="0" borderId="0" xfId="0" applyNumberFormat="1" applyFont="1" applyFill="1"/>
    <xf numFmtId="0" fontId="10" fillId="0" borderId="0" xfId="0" applyNumberFormat="1" applyFont="1" applyAlignment="1">
      <alignment horizontal="left"/>
    </xf>
    <xf numFmtId="49" fontId="27" fillId="0" borderId="0" xfId="0" applyNumberFormat="1" applyFont="1" applyAlignment="1">
      <alignment horizontal="left"/>
    </xf>
    <xf numFmtId="0" fontId="61" fillId="0" borderId="0" xfId="0" applyFont="1"/>
    <xf numFmtId="0" fontId="17" fillId="0" borderId="0" xfId="35" applyFont="1" applyAlignment="1">
      <alignment vertical="center"/>
    </xf>
    <xf numFmtId="0" fontId="3" fillId="33" borderId="15" xfId="0" applyFont="1" applyFill="1" applyBorder="1" applyAlignment="1" applyProtection="1">
      <alignment vertical="center"/>
    </xf>
    <xf numFmtId="0" fontId="22" fillId="33" borderId="15" xfId="0" applyFont="1" applyFill="1" applyBorder="1" applyAlignment="1" applyProtection="1">
      <alignment vertical="center"/>
    </xf>
    <xf numFmtId="0" fontId="21" fillId="33" borderId="15" xfId="0" applyFont="1" applyFill="1" applyBorder="1" applyAlignment="1" applyProtection="1">
      <alignment vertical="center"/>
    </xf>
    <xf numFmtId="0" fontId="10" fillId="33" borderId="15" xfId="0" applyFont="1" applyFill="1" applyBorder="1" applyAlignment="1" applyProtection="1">
      <alignment vertical="center"/>
    </xf>
    <xf numFmtId="0" fontId="10" fillId="33" borderId="15" xfId="0" applyFont="1" applyFill="1" applyBorder="1" applyAlignment="1" applyProtection="1">
      <alignment horizontal="right" vertical="center"/>
    </xf>
    <xf numFmtId="4" fontId="22" fillId="33" borderId="15" xfId="0" applyNumberFormat="1" applyFont="1" applyFill="1" applyBorder="1" applyAlignment="1" applyProtection="1">
      <alignment vertical="center"/>
    </xf>
    <xf numFmtId="0" fontId="10" fillId="43" borderId="12" xfId="0" applyFont="1" applyFill="1" applyBorder="1" applyAlignment="1" applyProtection="1">
      <alignment vertical="center"/>
    </xf>
    <xf numFmtId="0" fontId="10" fillId="44" borderId="12" xfId="0" applyFont="1" applyFill="1" applyBorder="1" applyAlignment="1" applyProtection="1">
      <alignment vertical="center"/>
    </xf>
    <xf numFmtId="0" fontId="10" fillId="45" borderId="12" xfId="0" applyFont="1" applyFill="1" applyBorder="1" applyAlignment="1" applyProtection="1">
      <alignment vertical="center"/>
    </xf>
    <xf numFmtId="0" fontId="10" fillId="39" borderId="14" xfId="0" applyFont="1" applyFill="1" applyBorder="1" applyAlignment="1" applyProtection="1">
      <alignment vertical="center"/>
    </xf>
    <xf numFmtId="0" fontId="10" fillId="39" borderId="15" xfId="0" applyFont="1" applyFill="1" applyBorder="1" applyAlignment="1" applyProtection="1">
      <alignment vertical="center"/>
    </xf>
    <xf numFmtId="0" fontId="10" fillId="46" borderId="12" xfId="0" applyFont="1" applyFill="1" applyBorder="1" applyAlignment="1" applyProtection="1">
      <alignment vertical="center"/>
    </xf>
    <xf numFmtId="0" fontId="12" fillId="44" borderId="12" xfId="0" applyFont="1" applyFill="1" applyBorder="1" applyAlignment="1" applyProtection="1">
      <alignment vertical="center"/>
    </xf>
    <xf numFmtId="0" fontId="12" fillId="45" borderId="12" xfId="0" applyFont="1" applyFill="1" applyBorder="1" applyAlignment="1" applyProtection="1">
      <alignment vertical="center"/>
    </xf>
    <xf numFmtId="2" fontId="25" fillId="0" borderId="13" xfId="35" applyNumberFormat="1" applyFont="1" applyBorder="1" applyAlignment="1">
      <alignment vertical="top" wrapText="1"/>
    </xf>
    <xf numFmtId="4" fontId="17" fillId="0" borderId="13" xfId="0" applyNumberFormat="1" applyFont="1" applyFill="1" applyBorder="1" applyAlignment="1">
      <alignment vertical="center"/>
    </xf>
    <xf numFmtId="0" fontId="17" fillId="0" borderId="10" xfId="0" applyFont="1" applyBorder="1" applyAlignment="1" applyProtection="1">
      <alignment vertical="center"/>
      <protection locked="0"/>
    </xf>
    <xf numFmtId="0" fontId="5" fillId="43" borderId="10" xfId="0" applyFont="1" applyFill="1" applyBorder="1" applyAlignment="1">
      <alignment vertical="center"/>
    </xf>
    <xf numFmtId="0" fontId="5" fillId="39" borderId="10" xfId="0" applyFont="1" applyFill="1" applyBorder="1" applyAlignment="1">
      <alignment vertical="center"/>
    </xf>
    <xf numFmtId="0" fontId="5" fillId="46" borderId="10" xfId="0" applyFont="1" applyFill="1" applyBorder="1" applyAlignment="1">
      <alignment vertical="center"/>
    </xf>
    <xf numFmtId="0" fontId="5" fillId="44" borderId="10" xfId="0" applyFont="1" applyFill="1" applyBorder="1" applyAlignment="1">
      <alignment vertical="center"/>
    </xf>
    <xf numFmtId="0" fontId="5" fillId="45" borderId="10" xfId="0" applyFont="1" applyFill="1" applyBorder="1" applyAlignment="1">
      <alignment vertical="center"/>
    </xf>
    <xf numFmtId="4" fontId="10" fillId="0" borderId="0" xfId="0" applyNumberFormat="1" applyFont="1" applyBorder="1" applyAlignment="1" applyProtection="1">
      <alignment vertical="center"/>
    </xf>
    <xf numFmtId="9" fontId="10" fillId="0" borderId="14" xfId="0" applyNumberFormat="1" applyFont="1" applyFill="1" applyBorder="1" applyAlignment="1" applyProtection="1">
      <alignment vertical="center"/>
    </xf>
    <xf numFmtId="2" fontId="10" fillId="0" borderId="11" xfId="35" applyNumberFormat="1" applyFont="1" applyBorder="1" applyAlignment="1">
      <alignment horizontal="center" vertical="center" wrapText="1"/>
    </xf>
    <xf numFmtId="2" fontId="10" fillId="0" borderId="11" xfId="35" quotePrefix="1" applyNumberFormat="1" applyFont="1" applyBorder="1" applyAlignment="1">
      <alignment horizontal="center" vertical="center" wrapText="1"/>
    </xf>
    <xf numFmtId="3" fontId="17" fillId="0" borderId="0" xfId="0" applyNumberFormat="1" applyFont="1" applyFill="1" applyBorder="1" applyAlignment="1">
      <alignment horizontal="center" vertical="center"/>
    </xf>
    <xf numFmtId="4" fontId="17" fillId="0" borderId="0" xfId="0" applyNumberFormat="1" applyFont="1" applyFill="1" applyBorder="1" applyAlignment="1" applyProtection="1">
      <alignment vertical="center"/>
    </xf>
    <xf numFmtId="3" fontId="3" fillId="0" borderId="12" xfId="0" applyNumberFormat="1" applyFont="1" applyFill="1" applyBorder="1" applyAlignment="1" applyProtection="1">
      <alignment vertical="center"/>
    </xf>
    <xf numFmtId="167" fontId="17" fillId="0" borderId="13" xfId="0" applyNumberFormat="1" applyFont="1" applyBorder="1" applyAlignment="1" applyProtection="1">
      <alignment vertical="center"/>
      <protection locked="0"/>
    </xf>
    <xf numFmtId="14" fontId="8" fillId="0" borderId="0" xfId="0" applyNumberFormat="1" applyFont="1" applyFill="1" applyBorder="1" applyAlignment="1" applyProtection="1">
      <alignment vertical="center"/>
    </xf>
    <xf numFmtId="167" fontId="25" fillId="0" borderId="0" xfId="0" applyNumberFormat="1" applyFont="1" applyAlignment="1" applyProtection="1">
      <alignment vertical="center"/>
    </xf>
    <xf numFmtId="3" fontId="17" fillId="0" borderId="13" xfId="0" applyNumberFormat="1" applyFont="1" applyBorder="1" applyAlignment="1">
      <alignment vertical="center"/>
    </xf>
    <xf numFmtId="0" fontId="17" fillId="0" borderId="13" xfId="0" applyNumberFormat="1" applyFont="1" applyBorder="1" applyAlignment="1" applyProtection="1">
      <alignment horizontal="right" vertical="center"/>
      <protection locked="0"/>
    </xf>
    <xf numFmtId="0" fontId="9" fillId="40" borderId="0" xfId="35" applyFill="1"/>
    <xf numFmtId="0" fontId="62" fillId="40" borderId="0" xfId="35" applyFont="1" applyFill="1" applyAlignment="1">
      <alignment vertical="center"/>
    </xf>
    <xf numFmtId="0" fontId="14" fillId="40" borderId="0" xfId="35" applyFont="1" applyFill="1" applyAlignment="1">
      <alignment vertical="center"/>
    </xf>
    <xf numFmtId="0" fontId="61" fillId="40" borderId="0" xfId="35" applyFont="1" applyFill="1" applyAlignment="1">
      <alignment vertical="center"/>
    </xf>
    <xf numFmtId="0" fontId="5" fillId="40" borderId="0" xfId="35" applyFont="1" applyFill="1"/>
    <xf numFmtId="0" fontId="5" fillId="40" borderId="0" xfId="35" applyFont="1" applyFill="1" applyAlignment="1">
      <alignment vertical="center"/>
    </xf>
    <xf numFmtId="0" fontId="60" fillId="40" borderId="0" xfId="35" applyFont="1" applyFill="1"/>
    <xf numFmtId="4" fontId="17" fillId="0" borderId="30" xfId="0" applyNumberFormat="1" applyFont="1" applyBorder="1" applyAlignment="1">
      <alignment vertical="center"/>
    </xf>
    <xf numFmtId="4" fontId="17" fillId="0" borderId="31" xfId="0" applyNumberFormat="1" applyFont="1" applyBorder="1" applyAlignment="1">
      <alignment vertical="center"/>
    </xf>
    <xf numFmtId="4" fontId="17" fillId="0" borderId="33" xfId="0" applyNumberFormat="1" applyFont="1" applyBorder="1" applyAlignment="1">
      <alignment vertical="center"/>
    </xf>
    <xf numFmtId="0" fontId="17" fillId="40" borderId="0" xfId="35" applyFont="1" applyFill="1" applyAlignment="1">
      <alignment vertical="center"/>
    </xf>
    <xf numFmtId="0" fontId="61" fillId="40" borderId="0" xfId="0" applyFont="1" applyFill="1"/>
    <xf numFmtId="0" fontId="10" fillId="40" borderId="0" xfId="0" applyFont="1" applyFill="1"/>
    <xf numFmtId="0" fontId="33" fillId="40" borderId="0" xfId="0" applyFont="1" applyFill="1" applyAlignment="1">
      <alignment vertical="center"/>
    </xf>
    <xf numFmtId="9" fontId="17" fillId="0" borderId="30" xfId="0" applyNumberFormat="1" applyFont="1" applyBorder="1" applyAlignment="1">
      <alignment vertical="center"/>
    </xf>
    <xf numFmtId="9" fontId="17" fillId="0" borderId="34" xfId="0" applyNumberFormat="1" applyFont="1" applyBorder="1" applyAlignment="1" applyProtection="1">
      <alignment vertical="center"/>
      <protection locked="0"/>
    </xf>
    <xf numFmtId="0" fontId="17" fillId="0" borderId="0" xfId="0" applyFont="1"/>
    <xf numFmtId="0" fontId="17" fillId="0" borderId="0" xfId="35" applyFont="1"/>
    <xf numFmtId="0" fontId="15" fillId="0" borderId="0" xfId="35" applyFont="1"/>
    <xf numFmtId="0" fontId="66" fillId="0" borderId="0" xfId="35" applyFont="1" applyFill="1" applyAlignment="1">
      <alignment vertical="center"/>
    </xf>
    <xf numFmtId="0" fontId="15" fillId="0" borderId="0" xfId="35" applyFont="1" applyAlignment="1">
      <alignment vertical="center"/>
    </xf>
    <xf numFmtId="0" fontId="15" fillId="0" borderId="0" xfId="35" applyFont="1" applyAlignment="1">
      <alignment vertical="top"/>
    </xf>
    <xf numFmtId="9" fontId="15" fillId="0" borderId="0" xfId="35" applyNumberFormat="1" applyFont="1" applyFill="1" applyAlignment="1">
      <alignment horizontal="left"/>
    </xf>
    <xf numFmtId="0" fontId="64" fillId="0" borderId="0" xfId="35" applyFont="1" applyAlignment="1">
      <alignment horizontal="right"/>
    </xf>
    <xf numFmtId="2" fontId="15" fillId="0" borderId="0" xfId="35" applyNumberFormat="1" applyFont="1"/>
    <xf numFmtId="1" fontId="0" fillId="40" borderId="0" xfId="0" applyNumberFormat="1" applyFill="1"/>
    <xf numFmtId="0" fontId="0" fillId="40" borderId="0" xfId="0" applyFill="1"/>
    <xf numFmtId="1" fontId="0" fillId="40" borderId="18" xfId="0" applyNumberFormat="1" applyFill="1" applyBorder="1"/>
    <xf numFmtId="0" fontId="0" fillId="40" borderId="18" xfId="0" applyFill="1" applyBorder="1"/>
    <xf numFmtId="0" fontId="0" fillId="40" borderId="0" xfId="0" applyFill="1" applyBorder="1"/>
    <xf numFmtId="0" fontId="36" fillId="0" borderId="0" xfId="0" applyFont="1" applyFill="1"/>
    <xf numFmtId="0" fontId="0" fillId="40" borderId="0" xfId="0" applyFill="1" applyAlignment="1">
      <alignment vertical="center"/>
    </xf>
    <xf numFmtId="1" fontId="0" fillId="40" borderId="0" xfId="0" applyNumberFormat="1" applyFill="1" applyAlignment="1">
      <alignment vertical="center"/>
    </xf>
    <xf numFmtId="0" fontId="3" fillId="0" borderId="0" xfId="0" applyFont="1" applyFill="1" applyBorder="1" applyAlignment="1">
      <alignment horizontal="center" vertical="center"/>
    </xf>
    <xf numFmtId="1" fontId="0" fillId="0" borderId="0" xfId="0" applyNumberFormat="1" applyAlignment="1">
      <alignment vertical="center"/>
    </xf>
    <xf numFmtId="0" fontId="0" fillId="0" borderId="0" xfId="0" applyBorder="1" applyAlignment="1">
      <alignment vertical="center"/>
    </xf>
    <xf numFmtId="0" fontId="0" fillId="0" borderId="0" xfId="0" applyAlignment="1" applyProtection="1">
      <alignment vertical="center"/>
    </xf>
    <xf numFmtId="1" fontId="10" fillId="0" borderId="15" xfId="0" applyNumberFormat="1" applyFont="1" applyBorder="1" applyAlignment="1">
      <alignment horizontal="center" vertical="center"/>
    </xf>
    <xf numFmtId="0" fontId="10" fillId="0" borderId="0" xfId="0" applyFont="1" applyAlignment="1">
      <alignment horizontal="center" vertical="center"/>
    </xf>
    <xf numFmtId="1" fontId="10" fillId="0" borderId="12" xfId="0" applyNumberFormat="1" applyFont="1" applyBorder="1" applyAlignment="1">
      <alignment horizontal="center" vertical="center"/>
    </xf>
    <xf numFmtId="1" fontId="10" fillId="0" borderId="0" xfId="0" applyNumberFormat="1" applyFont="1" applyAlignment="1">
      <alignment horizontal="center" vertical="center"/>
    </xf>
    <xf numFmtId="0" fontId="10" fillId="0" borderId="15" xfId="0" applyFont="1" applyBorder="1" applyAlignment="1">
      <alignment vertical="center"/>
    </xf>
    <xf numFmtId="0" fontId="10" fillId="0" borderId="15" xfId="0" applyFont="1" applyBorder="1" applyAlignment="1">
      <alignment horizontal="right" vertical="center"/>
    </xf>
    <xf numFmtId="0" fontId="0" fillId="0" borderId="0" xfId="0" applyFill="1" applyBorder="1" applyAlignment="1" applyProtection="1">
      <alignment horizontal="center" vertical="center"/>
    </xf>
    <xf numFmtId="0" fontId="0" fillId="0" borderId="0" xfId="0" applyFill="1" applyAlignment="1" applyProtection="1">
      <alignment vertical="center"/>
    </xf>
    <xf numFmtId="0" fontId="10" fillId="0" borderId="0" xfId="0" applyFont="1" applyBorder="1" applyAlignment="1">
      <alignment vertical="center"/>
    </xf>
    <xf numFmtId="0" fontId="10" fillId="0" borderId="0" xfId="0" applyFont="1" applyBorder="1" applyAlignment="1">
      <alignment horizontal="right" vertical="center"/>
    </xf>
    <xf numFmtId="0" fontId="3" fillId="0" borderId="0" xfId="0" applyFont="1" applyAlignment="1" applyProtection="1">
      <alignment horizontal="right" vertical="center"/>
    </xf>
    <xf numFmtId="0" fontId="3" fillId="0" borderId="0" xfId="0" applyFont="1" applyAlignment="1">
      <alignment horizontal="right" vertical="center"/>
    </xf>
    <xf numFmtId="0" fontId="3" fillId="0" borderId="0" xfId="0" quotePrefix="1" applyFont="1" applyAlignment="1" applyProtection="1">
      <alignment horizontal="right" vertical="center"/>
    </xf>
    <xf numFmtId="1" fontId="10" fillId="0" borderId="15" xfId="0" applyNumberFormat="1" applyFont="1" applyBorder="1" applyAlignment="1">
      <alignment horizontal="right" vertical="center"/>
    </xf>
    <xf numFmtId="0" fontId="3" fillId="0" borderId="35" xfId="0" applyFont="1" applyFill="1" applyBorder="1" applyAlignment="1" applyProtection="1">
      <alignment horizontal="center" vertical="center"/>
    </xf>
    <xf numFmtId="1" fontId="10" fillId="0" borderId="15" xfId="0" applyNumberFormat="1" applyFont="1" applyBorder="1" applyAlignment="1">
      <alignment vertical="center"/>
    </xf>
    <xf numFmtId="0" fontId="0" fillId="40" borderId="0" xfId="0" applyFill="1" applyAlignment="1">
      <alignment horizontal="left"/>
    </xf>
    <xf numFmtId="0" fontId="3" fillId="0" borderId="35" xfId="0" applyFont="1" applyBorder="1" applyAlignment="1">
      <alignment horizontal="center" vertical="center"/>
    </xf>
    <xf numFmtId="4" fontId="10" fillId="0" borderId="0" xfId="0" applyNumberFormat="1" applyFont="1" applyFill="1" applyAlignment="1">
      <alignment horizontal="right" vertical="center"/>
    </xf>
    <xf numFmtId="4" fontId="3" fillId="0" borderId="0" xfId="0" applyNumberFormat="1" applyFont="1" applyFill="1" applyAlignment="1" applyProtection="1">
      <alignment horizontal="left" vertical="center"/>
    </xf>
    <xf numFmtId="4" fontId="3" fillId="0" borderId="10" xfId="0" applyNumberFormat="1" applyFont="1" applyFill="1" applyBorder="1" applyAlignment="1">
      <alignment horizontal="center" vertical="top" wrapText="1"/>
    </xf>
    <xf numFmtId="4" fontId="10" fillId="0" borderId="10" xfId="0" applyNumberFormat="1" applyFont="1" applyFill="1" applyBorder="1" applyAlignment="1">
      <alignment vertical="center"/>
    </xf>
    <xf numFmtId="4" fontId="10" fillId="0" borderId="10" xfId="0" applyNumberFormat="1" applyFont="1" applyFill="1" applyBorder="1" applyAlignment="1">
      <alignment horizontal="right" vertical="center"/>
    </xf>
    <xf numFmtId="4" fontId="3" fillId="31" borderId="10" xfId="0" applyNumberFormat="1" applyFont="1" applyFill="1" applyBorder="1" applyAlignment="1">
      <alignment horizontal="center" vertical="top" wrapText="1"/>
    </xf>
    <xf numFmtId="4" fontId="10" fillId="0" borderId="36" xfId="0" applyNumberFormat="1" applyFont="1" applyFill="1" applyBorder="1" applyAlignment="1">
      <alignment vertical="center"/>
    </xf>
    <xf numFmtId="4" fontId="10" fillId="24" borderId="10" xfId="0" applyNumberFormat="1" applyFont="1" applyFill="1" applyBorder="1" applyAlignment="1">
      <alignment horizontal="right" vertical="center"/>
    </xf>
    <xf numFmtId="4" fontId="10" fillId="0" borderId="0" xfId="0" applyNumberFormat="1" applyFont="1" applyFill="1" applyAlignment="1">
      <alignment horizontal="left" vertical="center"/>
    </xf>
    <xf numFmtId="4" fontId="3" fillId="37" borderId="10" xfId="0" applyNumberFormat="1" applyFont="1" applyFill="1" applyBorder="1" applyAlignment="1">
      <alignment horizontal="center" vertical="top" wrapText="1"/>
    </xf>
    <xf numFmtId="4" fontId="10" fillId="0" borderId="29" xfId="0" applyNumberFormat="1" applyFont="1" applyFill="1" applyBorder="1" applyAlignment="1">
      <alignment horizontal="right" vertical="center"/>
    </xf>
    <xf numFmtId="4" fontId="10" fillId="0" borderId="19" xfId="0" applyNumberFormat="1" applyFont="1" applyFill="1" applyBorder="1" applyAlignment="1">
      <alignment horizontal="right" vertical="center"/>
    </xf>
    <xf numFmtId="4" fontId="10" fillId="0" borderId="32" xfId="0" applyNumberFormat="1" applyFont="1" applyFill="1" applyBorder="1" applyAlignment="1">
      <alignment horizontal="right" vertical="center"/>
    </xf>
    <xf numFmtId="4" fontId="10" fillId="0" borderId="14" xfId="0" applyNumberFormat="1" applyFont="1" applyFill="1" applyBorder="1" applyAlignment="1">
      <alignment horizontal="right" vertical="center"/>
    </xf>
    <xf numFmtId="4" fontId="10" fillId="0" borderId="0" xfId="0" applyNumberFormat="1" applyFont="1" applyFill="1" applyBorder="1" applyAlignment="1">
      <alignment horizontal="right" vertical="center"/>
    </xf>
    <xf numFmtId="4" fontId="10" fillId="0" borderId="15" xfId="0" applyNumberFormat="1" applyFont="1" applyFill="1" applyBorder="1" applyAlignment="1">
      <alignment horizontal="right" vertical="center"/>
    </xf>
    <xf numFmtId="4" fontId="3" fillId="47" borderId="10" xfId="0" applyNumberFormat="1" applyFont="1" applyFill="1" applyBorder="1" applyAlignment="1">
      <alignment horizontal="center" vertical="top"/>
    </xf>
    <xf numFmtId="4" fontId="10" fillId="0" borderId="17" xfId="0" applyNumberFormat="1" applyFont="1" applyFill="1" applyBorder="1" applyAlignment="1">
      <alignment vertical="center"/>
    </xf>
    <xf numFmtId="4" fontId="10" fillId="47" borderId="10" xfId="0" applyNumberFormat="1" applyFont="1" applyFill="1" applyBorder="1" applyAlignment="1">
      <alignment vertical="center"/>
    </xf>
    <xf numFmtId="4" fontId="10" fillId="0" borderId="0" xfId="0" applyNumberFormat="1" applyFont="1" applyFill="1" applyBorder="1" applyAlignment="1">
      <alignment vertical="center"/>
    </xf>
    <xf numFmtId="4" fontId="10" fillId="0" borderId="15" xfId="0" applyNumberFormat="1" applyFont="1" applyFill="1" applyBorder="1" applyAlignment="1">
      <alignment vertical="center"/>
    </xf>
    <xf numFmtId="4" fontId="3" fillId="35" borderId="10" xfId="0" applyNumberFormat="1" applyFont="1" applyFill="1" applyBorder="1" applyAlignment="1">
      <alignment horizontal="center" vertical="top" wrapText="1"/>
    </xf>
    <xf numFmtId="4" fontId="10" fillId="0" borderId="31" xfId="0" applyNumberFormat="1" applyFont="1" applyFill="1" applyBorder="1" applyAlignment="1">
      <alignment vertical="center"/>
    </xf>
    <xf numFmtId="4" fontId="10" fillId="0" borderId="33" xfId="0" applyNumberFormat="1" applyFont="1" applyFill="1" applyBorder="1" applyAlignment="1">
      <alignment vertical="center"/>
    </xf>
    <xf numFmtId="4" fontId="10" fillId="35" borderId="17" xfId="0" applyNumberFormat="1" applyFont="1" applyFill="1" applyBorder="1" applyAlignment="1">
      <alignment vertical="center"/>
    </xf>
    <xf numFmtId="4" fontId="10" fillId="0" borderId="16" xfId="0" applyNumberFormat="1" applyFont="1" applyFill="1" applyBorder="1" applyAlignment="1">
      <alignment horizontal="center" vertical="center"/>
    </xf>
    <xf numFmtId="4" fontId="10" fillId="0" borderId="16" xfId="0" quotePrefix="1" applyNumberFormat="1" applyFont="1" applyFill="1" applyBorder="1" applyAlignment="1">
      <alignment horizontal="center" vertical="center"/>
    </xf>
    <xf numFmtId="4" fontId="10" fillId="35" borderId="10" xfId="0" applyNumberFormat="1" applyFont="1" applyFill="1" applyBorder="1" applyAlignment="1">
      <alignment vertical="center"/>
    </xf>
    <xf numFmtId="0" fontId="11" fillId="0" borderId="12" xfId="0" applyFont="1" applyBorder="1" applyAlignment="1" applyProtection="1">
      <alignment horizontal="right" vertical="center"/>
    </xf>
    <xf numFmtId="0" fontId="58" fillId="0" borderId="0" xfId="0" applyFont="1" applyBorder="1" applyAlignment="1" applyProtection="1">
      <alignment vertical="center"/>
    </xf>
    <xf numFmtId="9" fontId="10" fillId="0" borderId="0" xfId="0" applyNumberFormat="1" applyFont="1"/>
    <xf numFmtId="0" fontId="10" fillId="0" borderId="0" xfId="0" applyFont="1" applyAlignment="1">
      <alignment horizontal="right"/>
    </xf>
    <xf numFmtId="0" fontId="8" fillId="0" borderId="15" xfId="35" applyFont="1" applyBorder="1" applyProtection="1">
      <protection locked="0"/>
    </xf>
    <xf numFmtId="0" fontId="67" fillId="0" borderId="0" xfId="35" applyFont="1" applyAlignment="1">
      <alignment horizontal="left"/>
    </xf>
    <xf numFmtId="0" fontId="8" fillId="0" borderId="32" xfId="35" applyFont="1" applyFill="1" applyBorder="1" applyProtection="1">
      <protection locked="0"/>
    </xf>
    <xf numFmtId="0" fontId="8" fillId="0" borderId="33" xfId="35" applyFont="1" applyFill="1" applyBorder="1" applyProtection="1">
      <protection locked="0"/>
    </xf>
    <xf numFmtId="0" fontId="10" fillId="0" borderId="0" xfId="35" applyFont="1" applyAlignment="1">
      <alignment wrapText="1"/>
    </xf>
    <xf numFmtId="0" fontId="10" fillId="0" borderId="0" xfId="35" applyFont="1" applyAlignment="1"/>
    <xf numFmtId="3" fontId="17" fillId="0" borderId="0" xfId="0" applyNumberFormat="1" applyFont="1" applyAlignment="1" applyProtection="1">
      <alignment vertical="center"/>
    </xf>
    <xf numFmtId="0" fontId="9" fillId="0" borderId="0" xfId="35" applyAlignment="1">
      <alignment horizontal="left" vertical="center"/>
    </xf>
    <xf numFmtId="0" fontId="9" fillId="40" borderId="0" xfId="35" applyFill="1" applyAlignment="1">
      <alignment horizontal="left" vertical="center"/>
    </xf>
    <xf numFmtId="0" fontId="15" fillId="0" borderId="0" xfId="35" applyFont="1" applyAlignment="1">
      <alignment horizontal="left" vertical="center"/>
    </xf>
    <xf numFmtId="0" fontId="10" fillId="0" borderId="0" xfId="35" applyFont="1" applyAlignment="1">
      <alignment horizontal="left" vertical="center"/>
    </xf>
    <xf numFmtId="0" fontId="10" fillId="0" borderId="0" xfId="35" applyFont="1" applyFill="1" applyBorder="1" applyAlignment="1">
      <alignment horizontal="left" vertical="center"/>
    </xf>
    <xf numFmtId="167" fontId="10" fillId="0" borderId="0" xfId="35" applyNumberFormat="1" applyFont="1" applyAlignment="1">
      <alignment horizontal="left" vertical="center"/>
    </xf>
    <xf numFmtId="0" fontId="24" fillId="0" borderId="0" xfId="36" applyFont="1" applyFill="1" applyAlignment="1">
      <alignment horizontal="right"/>
    </xf>
    <xf numFmtId="0" fontId="8" fillId="0" borderId="0" xfId="36" applyFont="1"/>
    <xf numFmtId="168" fontId="24" fillId="0" borderId="0" xfId="36" applyNumberFormat="1" applyFont="1" applyAlignment="1">
      <alignment horizontal="left"/>
    </xf>
    <xf numFmtId="0" fontId="63" fillId="48" borderId="37" xfId="36" applyFont="1" applyFill="1" applyBorder="1" applyAlignment="1">
      <alignment horizontal="center"/>
    </xf>
    <xf numFmtId="0" fontId="24" fillId="0" borderId="0" xfId="36" applyFont="1" applyAlignment="1">
      <alignment horizontal="center"/>
    </xf>
    <xf numFmtId="1" fontId="24" fillId="0" borderId="0" xfId="36" applyNumberFormat="1" applyFont="1" applyAlignment="1">
      <alignment horizontal="right"/>
    </xf>
    <xf numFmtId="0" fontId="24" fillId="0" borderId="0" xfId="36" applyFont="1" applyAlignment="1">
      <alignment horizontal="left"/>
    </xf>
    <xf numFmtId="168" fontId="24" fillId="0" borderId="0" xfId="36" applyNumberFormat="1" applyFont="1" applyAlignment="1">
      <alignment horizontal="center"/>
    </xf>
    <xf numFmtId="0" fontId="63" fillId="49" borderId="37" xfId="36" applyFont="1" applyFill="1" applyBorder="1" applyAlignment="1">
      <alignment horizontal="center"/>
    </xf>
    <xf numFmtId="0" fontId="8" fillId="0" borderId="0" xfId="36" applyFont="1" applyAlignment="1">
      <alignment textRotation="90" wrapText="1"/>
    </xf>
    <xf numFmtId="0" fontId="63" fillId="50" borderId="37" xfId="36" applyFont="1" applyFill="1" applyBorder="1" applyAlignment="1">
      <alignment horizontal="center"/>
    </xf>
    <xf numFmtId="0" fontId="63" fillId="0" borderId="0" xfId="36" applyFont="1" applyFill="1" applyBorder="1" applyAlignment="1">
      <alignment horizontal="center"/>
    </xf>
    <xf numFmtId="0" fontId="63" fillId="51" borderId="37" xfId="36" applyFont="1" applyFill="1" applyBorder="1" applyAlignment="1">
      <alignment horizontal="center"/>
    </xf>
    <xf numFmtId="0" fontId="63" fillId="0" borderId="38" xfId="36" applyFont="1" applyFill="1" applyBorder="1" applyAlignment="1">
      <alignment horizontal="center"/>
    </xf>
    <xf numFmtId="1" fontId="63" fillId="44" borderId="37" xfId="36" applyNumberFormat="1" applyFont="1" applyFill="1" applyBorder="1" applyAlignment="1">
      <alignment horizontal="center"/>
    </xf>
    <xf numFmtId="1" fontId="63" fillId="0" borderId="38" xfId="36" applyNumberFormat="1" applyFont="1" applyFill="1" applyBorder="1" applyAlignment="1">
      <alignment horizontal="center"/>
    </xf>
    <xf numFmtId="0" fontId="63" fillId="52" borderId="37" xfId="36" applyFont="1" applyFill="1" applyBorder="1" applyAlignment="1">
      <alignment horizontal="center"/>
    </xf>
    <xf numFmtId="0" fontId="63" fillId="45" borderId="37" xfId="36" applyFont="1" applyFill="1" applyBorder="1" applyAlignment="1">
      <alignment horizontal="center"/>
    </xf>
    <xf numFmtId="0" fontId="8" fillId="0" borderId="0" xfId="36" applyFont="1" applyFill="1" applyAlignment="1">
      <alignment horizontal="center"/>
    </xf>
    <xf numFmtId="0" fontId="63" fillId="42" borderId="37" xfId="36" applyFont="1" applyFill="1" applyBorder="1" applyAlignment="1">
      <alignment horizontal="center"/>
    </xf>
    <xf numFmtId="0" fontId="63" fillId="0" borderId="26" xfId="36" applyFont="1" applyFill="1" applyBorder="1" applyAlignment="1">
      <alignment horizontal="center"/>
    </xf>
    <xf numFmtId="168" fontId="24" fillId="31" borderId="0" xfId="36" applyNumberFormat="1" applyFont="1" applyFill="1" applyAlignment="1">
      <alignment horizontal="left"/>
    </xf>
    <xf numFmtId="0" fontId="24" fillId="31" borderId="0" xfId="36" applyFont="1" applyFill="1" applyAlignment="1">
      <alignment horizontal="center"/>
    </xf>
    <xf numFmtId="1" fontId="24" fillId="31" borderId="0" xfId="36" applyNumberFormat="1" applyFont="1" applyFill="1" applyAlignment="1">
      <alignment horizontal="right"/>
    </xf>
    <xf numFmtId="0" fontId="63" fillId="31" borderId="0" xfId="36" applyFont="1" applyFill="1" applyBorder="1" applyAlignment="1">
      <alignment horizontal="center"/>
    </xf>
    <xf numFmtId="0" fontId="24" fillId="31" borderId="0" xfId="36" applyFont="1" applyFill="1" applyAlignment="1">
      <alignment horizontal="left"/>
    </xf>
    <xf numFmtId="0" fontId="24" fillId="31" borderId="0" xfId="36" applyFont="1" applyFill="1"/>
    <xf numFmtId="0" fontId="8" fillId="31" borderId="0" xfId="36" applyFont="1" applyFill="1"/>
    <xf numFmtId="0" fontId="8" fillId="0" borderId="0" xfId="36" applyFont="1" applyAlignment="1">
      <alignment horizontal="right"/>
    </xf>
    <xf numFmtId="0" fontId="24" fillId="52" borderId="0" xfId="36" applyFont="1" applyFill="1" applyAlignment="1">
      <alignment horizontal="right"/>
    </xf>
    <xf numFmtId="0" fontId="24" fillId="30" borderId="0" xfId="36" applyFont="1" applyFill="1" applyAlignment="1">
      <alignment horizontal="center"/>
    </xf>
    <xf numFmtId="0" fontId="24" fillId="30" borderId="0" xfId="36" applyFont="1" applyFill="1" applyAlignment="1">
      <alignment horizontal="left"/>
    </xf>
    <xf numFmtId="0" fontId="8" fillId="0" borderId="0" xfId="36" applyFont="1" applyAlignment="1">
      <alignment horizontal="center"/>
    </xf>
    <xf numFmtId="0" fontId="24" fillId="52" borderId="0" xfId="36" applyFont="1" applyFill="1" applyAlignment="1">
      <alignment horizontal="center"/>
    </xf>
    <xf numFmtId="0" fontId="24" fillId="0" borderId="0" xfId="36" applyFont="1"/>
    <xf numFmtId="3" fontId="10" fillId="0" borderId="12" xfId="0" applyNumberFormat="1" applyFont="1" applyFill="1" applyBorder="1" applyAlignment="1" applyProtection="1">
      <alignment vertical="center"/>
    </xf>
    <xf numFmtId="0" fontId="10" fillId="0" borderId="0" xfId="0" applyFont="1" applyAlignment="1" applyProtection="1">
      <alignment vertical="center"/>
      <protection locked="0"/>
    </xf>
    <xf numFmtId="0" fontId="27" fillId="40" borderId="0" xfId="35" applyFont="1" applyFill="1" applyAlignment="1">
      <alignment vertical="center"/>
    </xf>
    <xf numFmtId="0" fontId="14" fillId="0" borderId="0" xfId="35" applyFont="1" applyAlignment="1">
      <alignment vertical="center"/>
    </xf>
    <xf numFmtId="0" fontId="27" fillId="0" borderId="0" xfId="35" applyFont="1" applyAlignment="1">
      <alignment vertical="center"/>
    </xf>
    <xf numFmtId="0" fontId="70" fillId="0" borderId="0" xfId="0" applyFont="1" applyBorder="1" applyAlignment="1" applyProtection="1">
      <alignment vertical="center"/>
    </xf>
    <xf numFmtId="0" fontId="17" fillId="0" borderId="15" xfId="35" applyFont="1" applyFill="1" applyBorder="1" applyAlignment="1">
      <alignment horizontal="left" vertical="center"/>
    </xf>
    <xf numFmtId="0" fontId="17" fillId="0" borderId="15" xfId="35" applyFont="1" applyBorder="1" applyAlignment="1">
      <alignment vertical="center"/>
    </xf>
    <xf numFmtId="0" fontId="17" fillId="0" borderId="15" xfId="35" applyFont="1" applyBorder="1" applyAlignment="1">
      <alignment horizontal="right" vertical="center"/>
    </xf>
    <xf numFmtId="0" fontId="17" fillId="0" borderId="15" xfId="35" applyFont="1" applyFill="1" applyBorder="1" applyAlignment="1">
      <alignment horizontal="right" vertical="center"/>
    </xf>
    <xf numFmtId="0" fontId="17" fillId="0" borderId="15" xfId="35" applyFont="1" applyBorder="1" applyAlignment="1">
      <alignment horizontal="left" vertical="center"/>
    </xf>
    <xf numFmtId="0" fontId="17" fillId="53" borderId="15" xfId="35" applyFont="1" applyFill="1" applyBorder="1" applyAlignment="1">
      <alignment horizontal="left" vertical="center"/>
    </xf>
    <xf numFmtId="0" fontId="64" fillId="0" borderId="14" xfId="35" applyFont="1" applyFill="1" applyBorder="1" applyAlignment="1">
      <alignment horizontal="left" vertical="center"/>
    </xf>
    <xf numFmtId="0" fontId="64" fillId="0" borderId="14" xfId="35" applyFont="1" applyBorder="1" applyAlignment="1">
      <alignment vertical="center"/>
    </xf>
    <xf numFmtId="0" fontId="64" fillId="53" borderId="14" xfId="35" applyFont="1" applyFill="1" applyBorder="1" applyAlignment="1">
      <alignment vertical="center"/>
    </xf>
    <xf numFmtId="0" fontId="64" fillId="0" borderId="14" xfId="35" applyFont="1" applyFill="1" applyBorder="1" applyAlignment="1">
      <alignment horizontal="right" vertical="center"/>
    </xf>
    <xf numFmtId="0" fontId="64" fillId="0" borderId="14" xfId="35" applyFont="1" applyFill="1" applyBorder="1" applyAlignment="1">
      <alignment vertical="center"/>
    </xf>
    <xf numFmtId="14" fontId="64" fillId="53" borderId="14" xfId="35" applyNumberFormat="1" applyFont="1" applyFill="1" applyBorder="1" applyAlignment="1">
      <alignment horizontal="left" vertical="center"/>
    </xf>
    <xf numFmtId="1" fontId="17" fillId="53" borderId="15" xfId="35" applyNumberFormat="1" applyFont="1" applyFill="1" applyBorder="1" applyAlignment="1">
      <alignment horizontal="left" vertical="center"/>
    </xf>
    <xf numFmtId="0" fontId="8" fillId="0" borderId="0" xfId="35" applyFont="1" applyFill="1"/>
    <xf numFmtId="0" fontId="64" fillId="53" borderId="14" xfId="35" applyFont="1" applyFill="1" applyBorder="1" applyAlignment="1">
      <alignment horizontal="left" vertical="center"/>
    </xf>
    <xf numFmtId="0" fontId="64" fillId="0" borderId="14" xfId="35" applyFont="1" applyBorder="1" applyAlignment="1">
      <alignment horizontal="left" vertical="center"/>
    </xf>
    <xf numFmtId="0" fontId="24" fillId="0" borderId="0" xfId="35" applyFont="1" applyAlignment="1">
      <alignment horizontal="right"/>
    </xf>
    <xf numFmtId="0" fontId="17" fillId="53" borderId="15" xfId="35" applyFont="1" applyFill="1" applyBorder="1" applyAlignment="1">
      <alignment vertical="center"/>
    </xf>
    <xf numFmtId="0" fontId="9" fillId="0" borderId="15" xfId="35" applyBorder="1"/>
    <xf numFmtId="4" fontId="3" fillId="0" borderId="15" xfId="35" applyNumberFormat="1" applyFont="1" applyBorder="1" applyAlignment="1">
      <alignment horizontal="right" vertical="top"/>
    </xf>
    <xf numFmtId="0" fontId="64" fillId="0" borderId="0" xfId="35" applyFont="1" applyBorder="1"/>
    <xf numFmtId="0" fontId="64" fillId="0" borderId="0" xfId="35" applyFont="1" applyBorder="1" applyAlignment="1">
      <alignment horizontal="right"/>
    </xf>
    <xf numFmtId="1" fontId="17" fillId="0" borderId="15" xfId="35" applyNumberFormat="1" applyFont="1" applyBorder="1" applyAlignment="1">
      <alignment horizontal="left" vertical="center"/>
    </xf>
    <xf numFmtId="0" fontId="10" fillId="0" borderId="0" xfId="35" applyFont="1" applyFill="1"/>
    <xf numFmtId="0" fontId="23" fillId="0" borderId="0" xfId="0" applyFont="1" applyFill="1" applyBorder="1" applyAlignment="1" applyProtection="1">
      <alignment vertical="center"/>
    </xf>
    <xf numFmtId="1" fontId="10" fillId="0" borderId="0" xfId="0" applyNumberFormat="1" applyFont="1" applyFill="1" applyAlignment="1" applyProtection="1">
      <alignment horizontal="left" vertical="center"/>
    </xf>
    <xf numFmtId="3" fontId="25" fillId="0" borderId="0" xfId="0" applyNumberFormat="1" applyFont="1" applyFill="1" applyBorder="1" applyAlignment="1">
      <alignment horizontal="left" vertical="center"/>
    </xf>
    <xf numFmtId="3" fontId="3" fillId="47" borderId="10" xfId="0" applyNumberFormat="1" applyFont="1" applyFill="1" applyBorder="1" applyAlignment="1">
      <alignment horizontal="center" vertical="top" wrapText="1"/>
    </xf>
    <xf numFmtId="3" fontId="10" fillId="0" borderId="16" xfId="0" applyNumberFormat="1" applyFont="1" applyFill="1" applyBorder="1" applyAlignment="1">
      <alignment horizontal="right" vertical="center"/>
    </xf>
    <xf numFmtId="3" fontId="10" fillId="0" borderId="17" xfId="0" applyNumberFormat="1" applyFont="1" applyFill="1" applyBorder="1" applyAlignment="1">
      <alignment horizontal="right" vertical="center"/>
    </xf>
    <xf numFmtId="3" fontId="10" fillId="0" borderId="36" xfId="0" applyNumberFormat="1" applyFont="1" applyFill="1" applyBorder="1" applyAlignment="1">
      <alignment horizontal="right" vertical="center"/>
    </xf>
    <xf numFmtId="3" fontId="10" fillId="0" borderId="39" xfId="0" applyNumberFormat="1" applyFont="1" applyFill="1" applyBorder="1" applyAlignment="1">
      <alignment horizontal="right" vertical="center"/>
    </xf>
    <xf numFmtId="3" fontId="10" fillId="0" borderId="40" xfId="0" applyNumberFormat="1" applyFont="1" applyFill="1" applyBorder="1" applyAlignment="1">
      <alignment horizontal="right" vertical="center"/>
    </xf>
    <xf numFmtId="0" fontId="16" fillId="26" borderId="0" xfId="0" applyFont="1" applyFill="1" applyAlignment="1" applyProtection="1">
      <alignment horizontal="right" vertical="center"/>
      <protection locked="0"/>
    </xf>
    <xf numFmtId="0" fontId="0" fillId="25" borderId="0" xfId="0" applyFill="1" applyAlignment="1" applyProtection="1">
      <alignment vertical="center"/>
    </xf>
    <xf numFmtId="0" fontId="71" fillId="25" borderId="0" xfId="0" applyFont="1" applyFill="1" applyAlignment="1" applyProtection="1">
      <alignment vertical="center"/>
    </xf>
    <xf numFmtId="0" fontId="10" fillId="26" borderId="0" xfId="0" applyFont="1" applyFill="1" applyAlignment="1" applyProtection="1">
      <alignment horizontal="right" vertical="center"/>
      <protection locked="0"/>
    </xf>
    <xf numFmtId="0" fontId="10" fillId="25" borderId="0" xfId="0" applyFont="1" applyFill="1" applyAlignment="1" applyProtection="1">
      <alignment vertical="center"/>
    </xf>
    <xf numFmtId="0" fontId="72" fillId="25" borderId="0" xfId="0" applyFont="1" applyFill="1" applyAlignment="1" applyProtection="1">
      <alignment vertical="center"/>
    </xf>
    <xf numFmtId="0" fontId="3" fillId="25" borderId="0" xfId="0" quotePrefix="1" applyFont="1" applyFill="1" applyAlignment="1" applyProtection="1">
      <alignment vertical="center"/>
    </xf>
    <xf numFmtId="0" fontId="16" fillId="25" borderId="0" xfId="0" applyFont="1" applyFill="1" applyAlignment="1" applyProtection="1">
      <alignment vertical="center"/>
    </xf>
    <xf numFmtId="1" fontId="10" fillId="26" borderId="0" xfId="0" applyNumberFormat="1" applyFont="1" applyFill="1" applyAlignment="1" applyProtection="1">
      <alignment horizontal="right" vertical="center"/>
      <protection locked="0"/>
    </xf>
    <xf numFmtId="0" fontId="16"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1" fontId="10" fillId="24" borderId="0" xfId="0" applyNumberFormat="1" applyFont="1" applyFill="1" applyBorder="1" applyAlignment="1" applyProtection="1">
      <alignment vertical="center"/>
      <protection locked="0"/>
    </xf>
    <xf numFmtId="1" fontId="10" fillId="24" borderId="0" xfId="0" applyNumberFormat="1" applyFont="1" applyFill="1" applyAlignment="1" applyProtection="1">
      <alignment vertical="center"/>
      <protection locked="0"/>
    </xf>
    <xf numFmtId="0" fontId="16" fillId="50" borderId="0" xfId="0" applyFont="1" applyFill="1" applyAlignment="1" applyProtection="1">
      <alignment vertical="center"/>
      <protection locked="0"/>
    </xf>
    <xf numFmtId="1" fontId="10" fillId="50" borderId="0" xfId="0" applyNumberFormat="1" applyFont="1" applyFill="1" applyAlignment="1" applyProtection="1">
      <alignment vertical="center"/>
      <protection locked="0"/>
    </xf>
    <xf numFmtId="1" fontId="10" fillId="50" borderId="0" xfId="0" applyNumberFormat="1" applyFont="1" applyFill="1" applyAlignment="1" applyProtection="1">
      <alignment horizontal="right" vertical="center"/>
      <protection locked="0"/>
    </xf>
    <xf numFmtId="1" fontId="16" fillId="50" borderId="0" xfId="0" applyNumberFormat="1" applyFont="1" applyFill="1" applyBorder="1" applyAlignment="1" applyProtection="1">
      <alignment vertical="center"/>
      <protection locked="0"/>
    </xf>
    <xf numFmtId="0" fontId="3" fillId="25" borderId="35" xfId="0" applyFont="1" applyFill="1" applyBorder="1" applyAlignment="1" applyProtection="1">
      <alignment vertical="center"/>
    </xf>
    <xf numFmtId="0" fontId="24" fillId="25" borderId="35" xfId="35" applyFont="1" applyFill="1" applyBorder="1" applyAlignment="1">
      <alignment horizontal="right"/>
    </xf>
    <xf numFmtId="0" fontId="25" fillId="0" borderId="0" xfId="0" applyFont="1" applyAlignment="1" applyProtection="1">
      <alignment horizontal="left" vertical="center"/>
    </xf>
    <xf numFmtId="0" fontId="73" fillId="0" borderId="0" xfId="0" applyFont="1" applyAlignment="1" applyProtection="1">
      <alignment horizontal="left" vertical="center"/>
    </xf>
    <xf numFmtId="0" fontId="6" fillId="0" borderId="0" xfId="0" applyFont="1" applyAlignment="1">
      <alignment horizontal="left"/>
    </xf>
    <xf numFmtId="14" fontId="3" fillId="0" borderId="0" xfId="0" applyNumberFormat="1" applyFont="1" applyAlignment="1">
      <alignment horizontal="left"/>
    </xf>
    <xf numFmtId="0" fontId="0" fillId="0" borderId="0" xfId="0" applyAlignment="1">
      <alignment horizontal="left"/>
    </xf>
    <xf numFmtId="1" fontId="25" fillId="0" borderId="10" xfId="0" applyNumberFormat="1" applyFont="1" applyFill="1" applyBorder="1" applyAlignment="1">
      <alignment vertical="center"/>
    </xf>
    <xf numFmtId="166" fontId="17" fillId="0" borderId="0" xfId="0" applyNumberFormat="1" applyFont="1"/>
    <xf numFmtId="0" fontId="64" fillId="0" borderId="0" xfId="0" applyFont="1"/>
    <xf numFmtId="14" fontId="64" fillId="0" borderId="0" xfId="0" applyNumberFormat="1" applyFont="1" applyAlignment="1"/>
    <xf numFmtId="3" fontId="17" fillId="0" borderId="0" xfId="35" applyNumberFormat="1" applyFont="1" applyAlignment="1">
      <alignment vertical="center"/>
    </xf>
    <xf numFmtId="4" fontId="17" fillId="0" borderId="10" xfId="0" applyNumberFormat="1" applyFont="1" applyBorder="1" applyAlignment="1">
      <alignment vertical="center"/>
    </xf>
    <xf numFmtId="0" fontId="26" fillId="0" borderId="0" xfId="0" applyFont="1" applyAlignment="1" applyProtection="1">
      <alignment vertical="center"/>
    </xf>
    <xf numFmtId="0" fontId="17" fillId="0" borderId="41" xfId="0" applyFont="1" applyBorder="1"/>
    <xf numFmtId="0" fontId="17" fillId="0" borderId="42" xfId="0" applyFont="1" applyBorder="1"/>
    <xf numFmtId="4" fontId="17" fillId="0" borderId="41" xfId="0" applyNumberFormat="1" applyFont="1" applyBorder="1"/>
    <xf numFmtId="4" fontId="17" fillId="0" borderId="23" xfId="0" applyNumberFormat="1" applyFont="1" applyBorder="1"/>
    <xf numFmtId="0" fontId="65" fillId="39" borderId="20" xfId="0" applyFont="1" applyFill="1" applyBorder="1"/>
    <xf numFmtId="0" fontId="65" fillId="39" borderId="22" xfId="0" applyFont="1" applyFill="1" applyBorder="1"/>
    <xf numFmtId="4" fontId="17" fillId="39" borderId="42" xfId="0" applyNumberFormat="1" applyFont="1" applyFill="1" applyBorder="1"/>
    <xf numFmtId="4" fontId="17" fillId="39" borderId="24" xfId="0" applyNumberFormat="1" applyFont="1" applyFill="1" applyBorder="1"/>
    <xf numFmtId="4" fontId="64" fillId="0" borderId="0" xfId="0" applyNumberFormat="1" applyFont="1"/>
    <xf numFmtId="0" fontId="1" fillId="0" borderId="0" xfId="0" applyFont="1"/>
    <xf numFmtId="49" fontId="77" fillId="40" borderId="0" xfId="0" applyNumberFormat="1" applyFont="1" applyFill="1" applyAlignment="1">
      <alignment horizontal="center"/>
    </xf>
    <xf numFmtId="4" fontId="74" fillId="40" borderId="0" xfId="0" applyNumberFormat="1" applyFont="1" applyFill="1" applyAlignment="1">
      <alignment horizontal="center"/>
    </xf>
    <xf numFmtId="4" fontId="74" fillId="40" borderId="0" xfId="0" applyNumberFormat="1" applyFont="1" applyFill="1" applyAlignment="1">
      <alignment horizontal="center" vertical="center"/>
    </xf>
    <xf numFmtId="4" fontId="75" fillId="40" borderId="0" xfId="0" applyNumberFormat="1" applyFont="1" applyFill="1" applyAlignment="1">
      <alignment horizontal="center"/>
    </xf>
    <xf numFmtId="4" fontId="76" fillId="40" borderId="0" xfId="0" applyNumberFormat="1" applyFont="1" applyFill="1" applyBorder="1" applyAlignment="1">
      <alignment horizontal="center"/>
    </xf>
    <xf numFmtId="4" fontId="74" fillId="0" borderId="0" xfId="0" applyNumberFormat="1" applyFont="1" applyFill="1" applyAlignment="1">
      <alignment horizontal="center"/>
    </xf>
    <xf numFmtId="4" fontId="78" fillId="40" borderId="0" xfId="0" applyNumberFormat="1" applyFont="1" applyFill="1" applyAlignment="1">
      <alignment horizontal="center"/>
    </xf>
    <xf numFmtId="4" fontId="17" fillId="0" borderId="41" xfId="0" applyNumberFormat="1" applyFont="1" applyFill="1" applyBorder="1"/>
    <xf numFmtId="4" fontId="17" fillId="0" borderId="42" xfId="0" applyNumberFormat="1" applyFont="1" applyFill="1" applyBorder="1"/>
    <xf numFmtId="4" fontId="75" fillId="40" borderId="0" xfId="0" applyNumberFormat="1" applyFont="1" applyFill="1" applyBorder="1" applyAlignment="1">
      <alignment horizontal="center"/>
    </xf>
    <xf numFmtId="4" fontId="75" fillId="40" borderId="0" xfId="0" applyNumberFormat="1" applyFont="1" applyFill="1" applyAlignment="1">
      <alignment horizontal="left"/>
    </xf>
    <xf numFmtId="4" fontId="78" fillId="40" borderId="0" xfId="0" applyNumberFormat="1" applyFont="1" applyFill="1" applyAlignment="1">
      <alignment horizontal="left"/>
    </xf>
    <xf numFmtId="4" fontId="75" fillId="40" borderId="0" xfId="0" applyNumberFormat="1" applyFont="1" applyFill="1" applyBorder="1" applyAlignment="1">
      <alignment horizontal="left"/>
    </xf>
    <xf numFmtId="0" fontId="10" fillId="0" borderId="12" xfId="0" applyFont="1" applyFill="1" applyBorder="1" applyAlignment="1" applyProtection="1">
      <alignment horizontal="left" vertical="center"/>
    </xf>
    <xf numFmtId="49" fontId="16" fillId="0" borderId="0" xfId="0" applyNumberFormat="1" applyFont="1" applyAlignment="1">
      <alignment horizontal="center" wrapText="1"/>
    </xf>
    <xf numFmtId="0" fontId="17" fillId="25" borderId="0" xfId="0" applyFont="1" applyFill="1" applyBorder="1" applyAlignment="1">
      <alignment vertical="center"/>
    </xf>
    <xf numFmtId="3" fontId="17" fillId="25" borderId="0" xfId="0" applyNumberFormat="1" applyFont="1" applyFill="1"/>
    <xf numFmtId="0" fontId="8" fillId="28" borderId="12" xfId="0" applyFont="1" applyFill="1" applyBorder="1" applyAlignment="1" applyProtection="1">
      <alignment vertical="center"/>
    </xf>
    <xf numFmtId="0" fontId="10" fillId="28" borderId="12" xfId="0" applyFont="1" applyFill="1" applyBorder="1" applyAlignment="1" applyProtection="1">
      <alignment vertical="center"/>
    </xf>
    <xf numFmtId="14" fontId="3" fillId="0" borderId="0" xfId="0" quotePrefix="1" applyNumberFormat="1" applyFont="1" applyAlignment="1">
      <alignment horizontal="left"/>
    </xf>
    <xf numFmtId="0" fontId="81" fillId="0" borderId="0" xfId="0" applyFont="1"/>
    <xf numFmtId="0" fontId="80" fillId="0" borderId="0" xfId="0" applyFont="1" applyAlignment="1">
      <alignment horizontal="left"/>
    </xf>
    <xf numFmtId="0" fontId="13" fillId="0" borderId="0" xfId="0" applyFont="1"/>
    <xf numFmtId="0" fontId="13" fillId="0" borderId="0" xfId="0" applyFont="1" applyAlignment="1">
      <alignment horizontal="left"/>
    </xf>
    <xf numFmtId="0" fontId="13" fillId="0" borderId="0" xfId="0" applyFont="1" applyAlignment="1"/>
    <xf numFmtId="0" fontId="81" fillId="0" borderId="0" xfId="0" applyFont="1" applyAlignment="1">
      <alignment vertical="top"/>
    </xf>
    <xf numFmtId="1" fontId="13" fillId="0" borderId="0" xfId="0" applyNumberFormat="1" applyFont="1" applyAlignment="1">
      <alignment horizontal="left"/>
    </xf>
    <xf numFmtId="0" fontId="81" fillId="0" borderId="0" xfId="0" applyFont="1" applyAlignment="1">
      <alignment vertical="top" wrapText="1"/>
    </xf>
    <xf numFmtId="0" fontId="0" fillId="0" borderId="0" xfId="0" applyAlignment="1"/>
    <xf numFmtId="0" fontId="82" fillId="0" borderId="0" xfId="0" applyFont="1" applyAlignment="1">
      <alignment vertical="top"/>
    </xf>
    <xf numFmtId="0" fontId="60" fillId="0" borderId="0" xfId="0" applyFont="1" applyAlignment="1">
      <alignment vertical="top"/>
    </xf>
    <xf numFmtId="0" fontId="60" fillId="0" borderId="0" xfId="0" applyFont="1" applyAlignment="1"/>
    <xf numFmtId="0" fontId="13" fillId="0" borderId="0" xfId="0" applyFont="1" applyAlignment="1">
      <alignment horizontal="left" vertical="top" wrapText="1"/>
    </xf>
    <xf numFmtId="0" fontId="13" fillId="0" borderId="0" xfId="0" applyFont="1" applyAlignment="1">
      <alignment horizontal="left" vertical="top"/>
    </xf>
    <xf numFmtId="0" fontId="80" fillId="0" borderId="0" xfId="0" quotePrefix="1" applyFont="1" applyAlignment="1">
      <alignment horizontal="left"/>
    </xf>
    <xf numFmtId="0" fontId="82" fillId="0" borderId="0" xfId="0" applyFont="1" applyAlignment="1"/>
    <xf numFmtId="0" fontId="81" fillId="0" borderId="0" xfId="0" applyFont="1" applyAlignment="1"/>
    <xf numFmtId="0" fontId="81" fillId="0" borderId="0" xfId="0" applyFont="1" applyAlignment="1">
      <alignment wrapText="1"/>
    </xf>
    <xf numFmtId="0" fontId="2" fillId="0" borderId="0" xfId="0" quotePrefix="1" applyFont="1" applyAlignment="1">
      <alignment horizontal="right"/>
    </xf>
    <xf numFmtId="166" fontId="13" fillId="0" borderId="0" xfId="0" applyNumberFormat="1" applyFont="1" applyAlignment="1">
      <alignment horizontal="left" vertical="center"/>
    </xf>
    <xf numFmtId="0" fontId="13" fillId="0" borderId="0" xfId="0" applyFont="1" applyAlignment="1">
      <alignment vertical="center"/>
    </xf>
    <xf numFmtId="0" fontId="82" fillId="0" borderId="0" xfId="0" applyFont="1" applyAlignment="1" applyProtection="1">
      <alignment vertical="top"/>
      <protection locked="0"/>
    </xf>
    <xf numFmtId="0" fontId="82" fillId="0" borderId="0" xfId="0" applyFont="1" applyAlignment="1" applyProtection="1">
      <protection locked="0"/>
    </xf>
    <xf numFmtId="0" fontId="0" fillId="0" borderId="0" xfId="0" applyProtection="1">
      <protection locked="0"/>
    </xf>
    <xf numFmtId="0" fontId="81" fillId="0" borderId="0" xfId="0" applyFont="1" applyAlignment="1" applyProtection="1">
      <protection locked="0"/>
    </xf>
    <xf numFmtId="0" fontId="81" fillId="0" borderId="0" xfId="0" applyFont="1" applyAlignment="1" applyProtection="1">
      <alignment vertical="top" wrapText="1"/>
    </xf>
    <xf numFmtId="0" fontId="81" fillId="0" borderId="0" xfId="0" applyFont="1" applyProtection="1"/>
    <xf numFmtId="0" fontId="0" fillId="0" borderId="0" xfId="0" applyProtection="1"/>
    <xf numFmtId="0" fontId="82" fillId="0" borderId="0" xfId="0" applyFont="1" applyAlignment="1" applyProtection="1">
      <alignment vertical="top"/>
    </xf>
    <xf numFmtId="0" fontId="81" fillId="0" borderId="0" xfId="0" applyFont="1" applyAlignment="1" applyProtection="1"/>
    <xf numFmtId="0" fontId="84" fillId="0" borderId="0" xfId="0" applyFont="1"/>
    <xf numFmtId="0" fontId="13" fillId="0" borderId="0" xfId="0" applyFont="1" applyProtection="1"/>
    <xf numFmtId="0" fontId="84" fillId="0" borderId="0" xfId="0" applyFont="1" applyProtection="1"/>
    <xf numFmtId="0" fontId="80" fillId="0" borderId="0" xfId="0" quotePrefix="1" applyFont="1" applyAlignment="1" applyProtection="1">
      <alignment horizontal="left"/>
    </xf>
    <xf numFmtId="0" fontId="13" fillId="0" borderId="0" xfId="0" applyFont="1" applyAlignment="1" applyProtection="1"/>
    <xf numFmtId="0" fontId="0" fillId="0" borderId="0" xfId="0" applyAlignment="1" applyProtection="1"/>
    <xf numFmtId="0" fontId="60" fillId="0" borderId="0" xfId="0" applyFont="1" applyAlignment="1" applyProtection="1"/>
    <xf numFmtId="0" fontId="81" fillId="0" borderId="0" xfId="0" applyFont="1" applyAlignment="1" applyProtection="1">
      <alignment horizontal="left" vertical="top" wrapText="1"/>
    </xf>
    <xf numFmtId="1" fontId="13" fillId="0" borderId="0" xfId="0" applyNumberFormat="1" applyFont="1" applyAlignment="1" applyProtection="1">
      <alignment horizontal="left"/>
    </xf>
    <xf numFmtId="0" fontId="13" fillId="0" borderId="0" xfId="0" applyFont="1" applyAlignment="1" applyProtection="1">
      <alignment horizontal="left"/>
    </xf>
    <xf numFmtId="0" fontId="81" fillId="0" borderId="0" xfId="0" applyFont="1" applyBorder="1" applyProtection="1"/>
    <xf numFmtId="0" fontId="0" fillId="0" borderId="0" xfId="0" applyBorder="1" applyProtection="1"/>
    <xf numFmtId="3" fontId="17" fillId="28" borderId="0" xfId="0" applyNumberFormat="1" applyFont="1" applyFill="1" applyAlignment="1">
      <alignment vertical="center"/>
    </xf>
    <xf numFmtId="1" fontId="17" fillId="0" borderId="10" xfId="0" applyNumberFormat="1" applyFont="1" applyBorder="1" applyAlignment="1">
      <alignment vertical="center"/>
    </xf>
    <xf numFmtId="0" fontId="0" fillId="0" borderId="0" xfId="0" quotePrefix="1" applyFill="1" applyAlignment="1">
      <alignment vertical="center"/>
    </xf>
    <xf numFmtId="0" fontId="85" fillId="0" borderId="0" xfId="0" applyFont="1" applyFill="1" applyAlignment="1" applyProtection="1">
      <alignment vertical="center"/>
    </xf>
    <xf numFmtId="0" fontId="10" fillId="39" borderId="10" xfId="0" applyFont="1" applyFill="1" applyBorder="1" applyAlignment="1">
      <alignment horizontal="center" vertical="center"/>
    </xf>
    <xf numFmtId="0" fontId="10" fillId="39" borderId="10" xfId="0" applyFont="1" applyFill="1" applyBorder="1" applyAlignment="1">
      <alignment vertical="center"/>
    </xf>
    <xf numFmtId="1" fontId="10" fillId="39" borderId="10" xfId="0" applyNumberFormat="1" applyFont="1" applyFill="1" applyBorder="1" applyAlignment="1">
      <alignment horizontal="center" vertical="center"/>
    </xf>
    <xf numFmtId="4" fontId="10" fillId="39" borderId="10" xfId="0" applyNumberFormat="1" applyFont="1" applyFill="1" applyBorder="1" applyAlignment="1">
      <alignment horizontal="right" vertical="center"/>
    </xf>
    <xf numFmtId="10" fontId="10" fillId="39" borderId="10" xfId="0" applyNumberFormat="1" applyFont="1" applyFill="1" applyBorder="1" applyAlignment="1">
      <alignment horizontal="center" vertical="center"/>
    </xf>
    <xf numFmtId="3" fontId="10" fillId="39" borderId="10" xfId="0" applyNumberFormat="1" applyFont="1" applyFill="1" applyBorder="1" applyAlignment="1">
      <alignment horizontal="right" vertical="center"/>
    </xf>
    <xf numFmtId="2" fontId="10" fillId="39" borderId="10" xfId="0" applyNumberFormat="1" applyFont="1" applyFill="1" applyBorder="1" applyAlignment="1">
      <alignment horizontal="right" vertical="center"/>
    </xf>
    <xf numFmtId="4" fontId="10" fillId="39" borderId="10" xfId="0" applyNumberFormat="1" applyFont="1" applyFill="1" applyBorder="1" applyAlignment="1">
      <alignment vertical="center"/>
    </xf>
    <xf numFmtId="3" fontId="10" fillId="39" borderId="10" xfId="0" applyNumberFormat="1" applyFont="1" applyFill="1" applyBorder="1" applyAlignment="1">
      <alignment vertical="center"/>
    </xf>
    <xf numFmtId="3" fontId="25" fillId="0" borderId="10" xfId="0" applyNumberFormat="1" applyFont="1" applyFill="1" applyBorder="1" applyAlignment="1">
      <alignment vertical="center"/>
    </xf>
    <xf numFmtId="0" fontId="3" fillId="0" borderId="0" xfId="0" applyFont="1" applyAlignment="1">
      <alignment vertical="center"/>
    </xf>
    <xf numFmtId="0" fontId="86" fillId="0" borderId="0" xfId="0" applyFont="1" applyAlignment="1">
      <alignment vertical="center"/>
    </xf>
    <xf numFmtId="2" fontId="86" fillId="0" borderId="0" xfId="0" applyNumberFormat="1" applyFont="1" applyAlignment="1">
      <alignment vertical="center"/>
    </xf>
    <xf numFmtId="0" fontId="0" fillId="0" borderId="0" xfId="0" applyFill="1" applyAlignment="1">
      <alignment horizontal="left" vertical="center"/>
    </xf>
    <xf numFmtId="0" fontId="69" fillId="0" borderId="0" xfId="0" applyFont="1" applyAlignment="1">
      <alignment horizontal="right" vertical="center"/>
    </xf>
    <xf numFmtId="0" fontId="69" fillId="30" borderId="0" xfId="0" applyFont="1" applyFill="1" applyAlignment="1">
      <alignment horizontal="right" vertical="center"/>
    </xf>
    <xf numFmtId="3" fontId="13" fillId="0" borderId="0" xfId="0" applyNumberFormat="1" applyFont="1" applyAlignment="1" applyProtection="1">
      <alignment horizontal="left"/>
      <protection locked="0"/>
    </xf>
    <xf numFmtId="1" fontId="10" fillId="0" borderId="0" xfId="0" applyNumberFormat="1" applyFont="1" applyBorder="1" applyAlignment="1" applyProtection="1">
      <alignment horizontal="center" vertical="top"/>
    </xf>
    <xf numFmtId="10" fontId="17" fillId="0" borderId="0" xfId="0" applyNumberFormat="1" applyFont="1" applyBorder="1" applyAlignment="1" applyProtection="1">
      <alignment vertical="center"/>
      <protection locked="0"/>
    </xf>
    <xf numFmtId="0" fontId="69" fillId="24" borderId="0" xfId="0" applyFont="1" applyFill="1" applyAlignment="1">
      <alignment horizontal="right" vertical="center"/>
    </xf>
    <xf numFmtId="0" fontId="26" fillId="0" borderId="0" xfId="0" applyFont="1" applyProtection="1"/>
    <xf numFmtId="0" fontId="81" fillId="0" borderId="0" xfId="0" applyFont="1" applyAlignment="1" applyProtection="1">
      <alignment horizontal="justify" vertical="top" wrapText="1"/>
    </xf>
    <xf numFmtId="0" fontId="80" fillId="0" borderId="0" xfId="0" applyFont="1" applyAlignment="1" applyProtection="1">
      <alignment horizontal="left"/>
    </xf>
    <xf numFmtId="0" fontId="81" fillId="0" borderId="0" xfId="0" applyFont="1" applyAlignment="1" applyProtection="1">
      <alignment horizontal="justify" vertical="center"/>
    </xf>
    <xf numFmtId="0" fontId="2" fillId="0" borderId="0" xfId="0" quotePrefix="1" applyFont="1" applyAlignment="1" applyProtection="1">
      <alignment horizontal="right"/>
    </xf>
    <xf numFmtId="0" fontId="83" fillId="0" borderId="10" xfId="0" applyFont="1" applyBorder="1" applyAlignment="1" applyProtection="1">
      <alignment horizontal="justify" vertical="center"/>
    </xf>
    <xf numFmtId="0" fontId="81" fillId="0" borderId="0" xfId="0" applyFont="1" applyAlignment="1" applyProtection="1">
      <alignment wrapText="1"/>
    </xf>
    <xf numFmtId="0" fontId="0" fillId="0" borderId="0" xfId="0" applyAlignment="1" applyProtection="1">
      <alignment vertical="top"/>
    </xf>
    <xf numFmtId="166" fontId="81" fillId="0" borderId="10" xfId="0" applyNumberFormat="1" applyFont="1" applyBorder="1" applyAlignment="1" applyProtection="1">
      <alignment horizontal="justify" vertical="center"/>
      <protection locked="0"/>
    </xf>
    <xf numFmtId="166" fontId="81" fillId="0" borderId="10" xfId="0" applyNumberFormat="1" applyFont="1" applyBorder="1" applyProtection="1">
      <protection locked="0"/>
    </xf>
    <xf numFmtId="1" fontId="10" fillId="0" borderId="12" xfId="0" applyNumberFormat="1" applyFont="1" applyBorder="1" applyAlignment="1" applyProtection="1">
      <alignment horizontal="right" vertical="center"/>
    </xf>
    <xf numFmtId="10" fontId="10" fillId="24" borderId="0" xfId="0" applyNumberFormat="1" applyFont="1" applyFill="1" applyAlignment="1">
      <alignment vertical="center"/>
    </xf>
    <xf numFmtId="10" fontId="0" fillId="0" borderId="0" xfId="0" applyNumberFormat="1" applyAlignment="1">
      <alignment vertical="center"/>
    </xf>
    <xf numFmtId="10" fontId="0" fillId="30" borderId="0" xfId="0" applyNumberFormat="1" applyFill="1" applyAlignment="1">
      <alignment vertical="center"/>
    </xf>
    <xf numFmtId="10" fontId="10" fillId="0" borderId="12" xfId="0" applyNumberFormat="1" applyFont="1" applyFill="1" applyBorder="1" applyAlignment="1" applyProtection="1">
      <alignment vertical="center"/>
    </xf>
    <xf numFmtId="0" fontId="26" fillId="0" borderId="0" xfId="0" applyFont="1" applyFill="1" applyAlignment="1" applyProtection="1">
      <alignment vertical="center"/>
    </xf>
    <xf numFmtId="0" fontId="3" fillId="0" borderId="0" xfId="0" applyFont="1" applyFill="1" applyBorder="1" applyAlignment="1" applyProtection="1">
      <alignment horizontal="right" vertical="center"/>
    </xf>
    <xf numFmtId="1" fontId="10" fillId="0" borderId="12" xfId="0" applyNumberFormat="1" applyFont="1" applyFill="1" applyBorder="1" applyAlignment="1" applyProtection="1">
      <alignment vertical="center"/>
    </xf>
    <xf numFmtId="1" fontId="17" fillId="0" borderId="0" xfId="0" applyNumberFormat="1" applyFont="1"/>
    <xf numFmtId="3" fontId="15" fillId="0" borderId="0" xfId="35" applyNumberFormat="1" applyFont="1" applyAlignment="1">
      <alignment vertical="center"/>
    </xf>
    <xf numFmtId="4" fontId="17" fillId="0" borderId="21" xfId="0" applyNumberFormat="1" applyFont="1" applyBorder="1"/>
    <xf numFmtId="3" fontId="1" fillId="0" borderId="10" xfId="35" applyNumberFormat="1" applyFont="1" applyBorder="1" applyAlignment="1">
      <alignment horizontal="center"/>
    </xf>
    <xf numFmtId="0" fontId="11" fillId="0" borderId="10" xfId="35" applyFont="1" applyBorder="1" applyAlignment="1">
      <alignment horizontal="center" vertical="center" wrapText="1"/>
    </xf>
    <xf numFmtId="2" fontId="11" fillId="0" borderId="11" xfId="35" quotePrefix="1" applyNumberFormat="1" applyFont="1" applyBorder="1" applyAlignment="1">
      <alignment horizontal="center" vertical="center" wrapText="1"/>
    </xf>
    <xf numFmtId="169" fontId="11" fillId="0" borderId="12" xfId="35" applyNumberFormat="1" applyFont="1" applyBorder="1" applyAlignment="1">
      <alignment vertical="top" wrapText="1"/>
    </xf>
    <xf numFmtId="2" fontId="11" fillId="0" borderId="13" xfId="35" applyNumberFormat="1" applyFont="1" applyBorder="1" applyAlignment="1">
      <alignment vertical="top" wrapText="1"/>
    </xf>
    <xf numFmtId="169" fontId="11" fillId="0" borderId="11" xfId="35" applyNumberFormat="1" applyFont="1" applyBorder="1" applyAlignment="1">
      <alignment horizontal="left"/>
    </xf>
    <xf numFmtId="169" fontId="11" fillId="0" borderId="13" xfId="35" applyNumberFormat="1" applyFont="1" applyBorder="1" applyAlignment="1">
      <alignment vertical="top" wrapText="1"/>
    </xf>
    <xf numFmtId="2" fontId="90" fillId="0" borderId="11" xfId="35" applyNumberFormat="1" applyFont="1" applyBorder="1" applyAlignment="1">
      <alignment horizontal="right" vertical="center" wrapText="1"/>
    </xf>
    <xf numFmtId="170" fontId="90" fillId="0" borderId="13" xfId="35" applyNumberFormat="1" applyFont="1" applyBorder="1" applyAlignment="1">
      <alignment horizontal="right" vertical="center" wrapText="1"/>
    </xf>
    <xf numFmtId="2" fontId="11" fillId="0" borderId="11" xfId="35" applyNumberFormat="1" applyFont="1" applyBorder="1" applyAlignment="1">
      <alignment horizontal="right" vertical="center" wrapText="1"/>
    </xf>
    <xf numFmtId="170" fontId="11" fillId="0" borderId="13" xfId="35" applyNumberFormat="1" applyFont="1" applyBorder="1" applyAlignment="1">
      <alignment horizontal="right" vertical="center" wrapText="1"/>
    </xf>
    <xf numFmtId="0" fontId="11" fillId="0" borderId="13" xfId="35" applyFont="1" applyBorder="1"/>
    <xf numFmtId="0" fontId="60" fillId="0" borderId="0" xfId="0" applyFont="1" applyAlignment="1" applyProtection="1">
      <alignment vertical="top"/>
      <protection locked="0"/>
    </xf>
    <xf numFmtId="166" fontId="0" fillId="0" borderId="10" xfId="0" applyNumberFormat="1" applyBorder="1" applyAlignment="1" applyProtection="1">
      <alignment vertical="center"/>
      <protection locked="0"/>
    </xf>
    <xf numFmtId="0" fontId="0" fillId="0" borderId="10" xfId="0" applyBorder="1" applyAlignment="1" applyProtection="1">
      <alignment vertical="center"/>
      <protection locked="0"/>
    </xf>
    <xf numFmtId="3" fontId="0" fillId="0" borderId="10" xfId="0" applyNumberFormat="1" applyBorder="1" applyAlignment="1" applyProtection="1">
      <alignment vertical="center"/>
      <protection locked="0"/>
    </xf>
    <xf numFmtId="0" fontId="0" fillId="0" borderId="11" xfId="0" applyBorder="1" applyAlignment="1" applyProtection="1">
      <alignment vertical="center"/>
      <protection locked="0"/>
    </xf>
    <xf numFmtId="0" fontId="0" fillId="0" borderId="13" xfId="0" applyBorder="1" applyAlignment="1" applyProtection="1">
      <alignment vertical="center"/>
      <protection locked="0"/>
    </xf>
    <xf numFmtId="0" fontId="0" fillId="0" borderId="0" xfId="0" applyAlignment="1" applyProtection="1">
      <alignment vertical="center"/>
      <protection locked="0"/>
    </xf>
    <xf numFmtId="0" fontId="0" fillId="30" borderId="0" xfId="0" applyFill="1" applyProtection="1"/>
    <xf numFmtId="166" fontId="81" fillId="0" borderId="0" xfId="0" applyNumberFormat="1" applyFont="1" applyProtection="1"/>
    <xf numFmtId="166" fontId="0" fillId="0" borderId="0" xfId="0" applyNumberFormat="1" applyProtection="1"/>
    <xf numFmtId="3" fontId="0" fillId="0" borderId="0" xfId="0" applyNumberFormat="1" applyProtection="1"/>
    <xf numFmtId="10" fontId="17" fillId="0" borderId="0" xfId="0" applyNumberFormat="1" applyFont="1"/>
    <xf numFmtId="10" fontId="10" fillId="24" borderId="35" xfId="0" applyNumberFormat="1" applyFont="1" applyFill="1" applyBorder="1" applyAlignment="1">
      <alignment vertical="center"/>
    </xf>
    <xf numFmtId="0" fontId="0" fillId="0" borderId="20" xfId="0" applyBorder="1" applyAlignment="1">
      <alignment vertical="center"/>
    </xf>
    <xf numFmtId="0" fontId="0" fillId="0" borderId="22" xfId="0" applyBorder="1" applyAlignment="1">
      <alignment vertical="center"/>
    </xf>
    <xf numFmtId="1" fontId="0" fillId="0" borderId="41" xfId="0" applyNumberFormat="1" applyBorder="1" applyAlignment="1">
      <alignment vertical="center"/>
    </xf>
    <xf numFmtId="10" fontId="0" fillId="0" borderId="42" xfId="0" applyNumberFormat="1" applyBorder="1" applyAlignment="1">
      <alignment vertical="center"/>
    </xf>
    <xf numFmtId="1" fontId="0" fillId="0" borderId="23" xfId="0" applyNumberFormat="1" applyBorder="1" applyAlignment="1">
      <alignment vertical="center"/>
    </xf>
    <xf numFmtId="10" fontId="0" fillId="0" borderId="24" xfId="0" applyNumberFormat="1" applyBorder="1" applyAlignment="1">
      <alignment vertical="center"/>
    </xf>
    <xf numFmtId="0" fontId="3" fillId="24" borderId="10" xfId="0" applyFont="1" applyFill="1" applyBorder="1" applyAlignment="1" applyProtection="1">
      <alignment horizontal="center" vertical="center" textRotation="90"/>
      <protection locked="0"/>
    </xf>
    <xf numFmtId="0" fontId="3" fillId="24" borderId="10" xfId="0" applyFont="1" applyFill="1" applyBorder="1" applyAlignment="1" applyProtection="1">
      <alignment horizontal="center" vertical="center" textRotation="90" wrapText="1"/>
      <protection locked="0"/>
    </xf>
    <xf numFmtId="0" fontId="3" fillId="24" borderId="11" xfId="0" applyFont="1" applyFill="1" applyBorder="1" applyAlignment="1" applyProtection="1">
      <alignment horizontal="center" vertical="center" textRotation="90"/>
      <protection locked="0"/>
    </xf>
    <xf numFmtId="0" fontId="3" fillId="24" borderId="43" xfId="0" applyFont="1" applyFill="1" applyBorder="1" applyAlignment="1" applyProtection="1">
      <alignment horizontal="center" vertical="center" textRotation="90"/>
      <protection locked="0"/>
    </xf>
    <xf numFmtId="0" fontId="3" fillId="39" borderId="13" xfId="0" applyFont="1" applyFill="1" applyBorder="1" applyAlignment="1" applyProtection="1">
      <alignment horizontal="center" vertical="center" textRotation="90"/>
      <protection locked="0"/>
    </xf>
    <xf numFmtId="0" fontId="3" fillId="39" borderId="44" xfId="0" applyFont="1" applyFill="1" applyBorder="1" applyAlignment="1" applyProtection="1">
      <alignment horizontal="center" vertical="center" textRotation="90"/>
      <protection locked="0"/>
    </xf>
    <xf numFmtId="0" fontId="3" fillId="24" borderId="13" xfId="0" applyFont="1" applyFill="1" applyBorder="1" applyAlignment="1" applyProtection="1">
      <alignment horizontal="center" vertical="center" textRotation="90"/>
      <protection locked="0"/>
    </xf>
    <xf numFmtId="0" fontId="3" fillId="24" borderId="44" xfId="0" applyFont="1" applyFill="1" applyBorder="1" applyAlignment="1" applyProtection="1">
      <alignment horizontal="center" vertical="center" textRotation="90"/>
      <protection locked="0"/>
    </xf>
    <xf numFmtId="0" fontId="3" fillId="29" borderId="13" xfId="0" applyFont="1" applyFill="1" applyBorder="1" applyAlignment="1" applyProtection="1">
      <alignment horizontal="center" vertical="center" textRotation="90"/>
      <protection locked="0"/>
    </xf>
    <xf numFmtId="0" fontId="3" fillId="29" borderId="10" xfId="0" applyFont="1" applyFill="1" applyBorder="1" applyAlignment="1" applyProtection="1">
      <alignment horizontal="center" vertical="center" textRotation="90"/>
      <protection locked="0"/>
    </xf>
    <xf numFmtId="0" fontId="3" fillId="0" borderId="0" xfId="0" applyFont="1" applyAlignment="1" applyProtection="1">
      <alignment horizontal="center" vertical="center" textRotation="90"/>
      <protection locked="0"/>
    </xf>
    <xf numFmtId="0" fontId="3" fillId="39" borderId="13" xfId="0" applyFont="1" applyFill="1" applyBorder="1" applyAlignment="1" applyProtection="1">
      <alignment horizontal="center" vertical="center" textRotation="90" wrapText="1"/>
      <protection locked="0"/>
    </xf>
    <xf numFmtId="166" fontId="6" fillId="0" borderId="0" xfId="0" applyNumberFormat="1" applyFont="1" applyProtection="1"/>
    <xf numFmtId="166" fontId="3" fillId="0" borderId="0" xfId="0" applyNumberFormat="1" applyFont="1" applyProtection="1"/>
    <xf numFmtId="166" fontId="0" fillId="0" borderId="0" xfId="0" quotePrefix="1" applyNumberFormat="1" applyProtection="1"/>
    <xf numFmtId="166" fontId="10" fillId="0" borderId="0" xfId="0" applyNumberFormat="1" applyFont="1" applyProtection="1"/>
    <xf numFmtId="166" fontId="10" fillId="0" borderId="0" xfId="0" applyNumberFormat="1" applyFont="1" applyProtection="1">
      <protection locked="0"/>
    </xf>
    <xf numFmtId="166" fontId="0" fillId="0" borderId="0" xfId="0" applyNumberFormat="1" applyProtection="1">
      <protection locked="0"/>
    </xf>
    <xf numFmtId="166" fontId="3" fillId="24" borderId="10" xfId="0" applyNumberFormat="1" applyFont="1" applyFill="1" applyBorder="1" applyAlignment="1" applyProtection="1">
      <alignment horizontal="center" vertical="center" textRotation="90"/>
      <protection locked="0"/>
    </xf>
    <xf numFmtId="166" fontId="2" fillId="0" borderId="0" xfId="0" applyNumberFormat="1" applyFont="1" applyProtection="1"/>
    <xf numFmtId="166" fontId="27" fillId="30" borderId="0" xfId="0" applyNumberFormat="1" applyFont="1" applyFill="1" applyAlignment="1" applyProtection="1">
      <alignment vertical="center"/>
    </xf>
    <xf numFmtId="166" fontId="0" fillId="30" borderId="0" xfId="0" applyNumberFormat="1" applyFill="1" applyProtection="1"/>
    <xf numFmtId="166" fontId="0" fillId="0" borderId="0" xfId="0" applyNumberFormat="1" applyAlignment="1" applyProtection="1">
      <alignment vertical="center"/>
      <protection locked="0"/>
    </xf>
    <xf numFmtId="3" fontId="3" fillId="24" borderId="10" xfId="0" applyNumberFormat="1" applyFont="1" applyFill="1" applyBorder="1" applyAlignment="1" applyProtection="1">
      <alignment horizontal="center" vertical="center" textRotation="90"/>
      <protection locked="0"/>
    </xf>
    <xf numFmtId="3" fontId="3" fillId="24" borderId="10" xfId="0" applyNumberFormat="1" applyFont="1" applyFill="1" applyBorder="1" applyAlignment="1" applyProtection="1">
      <alignment horizontal="center" vertical="center" textRotation="90" wrapText="1"/>
      <protection locked="0"/>
    </xf>
    <xf numFmtId="3" fontId="0" fillId="30" borderId="0" xfId="0" applyNumberFormat="1" applyFill="1" applyProtection="1"/>
    <xf numFmtId="3" fontId="0" fillId="0" borderId="0" xfId="0" applyNumberFormat="1" applyAlignment="1" applyProtection="1">
      <alignment vertical="center"/>
      <protection locked="0"/>
    </xf>
    <xf numFmtId="0" fontId="0" fillId="0" borderId="0" xfId="0" applyAlignment="1" applyProtection="1">
      <alignment horizontal="center"/>
    </xf>
    <xf numFmtId="166" fontId="0" fillId="0" borderId="10" xfId="0" applyNumberFormat="1" applyBorder="1" applyAlignment="1" applyProtection="1">
      <alignment horizontal="center" vertical="center"/>
      <protection locked="0"/>
    </xf>
    <xf numFmtId="0" fontId="0" fillId="30" borderId="0" xfId="0" applyFill="1" applyAlignment="1" applyProtection="1">
      <alignment horizontal="center"/>
    </xf>
    <xf numFmtId="166" fontId="0" fillId="0" borderId="0" xfId="0" applyNumberFormat="1" applyAlignment="1" applyProtection="1">
      <alignment horizontal="center"/>
    </xf>
    <xf numFmtId="0" fontId="0" fillId="0" borderId="0" xfId="0" applyAlignment="1" applyProtection="1">
      <alignment horizontal="center" vertical="center"/>
      <protection locked="0"/>
    </xf>
    <xf numFmtId="3" fontId="0" fillId="0" borderId="10" xfId="0" applyNumberFormat="1" applyBorder="1" applyAlignment="1" applyProtection="1">
      <alignment horizontal="center" vertical="center"/>
      <protection locked="0"/>
    </xf>
    <xf numFmtId="3" fontId="0" fillId="0" borderId="0" xfId="0" applyNumberFormat="1" applyAlignment="1" applyProtection="1">
      <alignment horizontal="center"/>
    </xf>
    <xf numFmtId="1" fontId="0" fillId="0" borderId="43" xfId="0" applyNumberFormat="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1" fontId="0" fillId="0" borderId="44" xfId="0" applyNumberForma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 fontId="0" fillId="0" borderId="0" xfId="0" applyNumberFormat="1" applyAlignment="1" applyProtection="1">
      <alignment horizontal="center"/>
    </xf>
    <xf numFmtId="0" fontId="0" fillId="0" borderId="44" xfId="0" applyBorder="1" applyAlignment="1" applyProtection="1">
      <alignment horizontal="center" vertical="center"/>
      <protection locked="0"/>
    </xf>
    <xf numFmtId="0" fontId="17" fillId="0" borderId="0" xfId="0" applyFont="1" applyBorder="1"/>
    <xf numFmtId="0" fontId="17" fillId="0" borderId="10" xfId="0" applyFont="1" applyBorder="1"/>
    <xf numFmtId="2" fontId="23" fillId="34" borderId="0" xfId="0" applyNumberFormat="1" applyFont="1" applyFill="1" applyAlignment="1" applyProtection="1">
      <alignment vertical="center"/>
    </xf>
    <xf numFmtId="0" fontId="23" fillId="0" borderId="0" xfId="0" applyFont="1" applyFill="1" applyAlignment="1" applyProtection="1">
      <alignment vertical="center"/>
    </xf>
    <xf numFmtId="0" fontId="91" fillId="0" borderId="0" xfId="0" applyFont="1" applyAlignment="1" applyProtection="1">
      <alignment vertical="center"/>
      <protection locked="0"/>
    </xf>
    <xf numFmtId="0" fontId="91" fillId="0" borderId="0" xfId="0" applyFont="1" applyAlignment="1">
      <alignment horizontal="center" vertical="center"/>
    </xf>
    <xf numFmtId="3" fontId="17" fillId="28" borderId="0" xfId="0" applyNumberFormat="1" applyFont="1" applyFill="1" applyAlignment="1" applyProtection="1">
      <alignment vertical="center"/>
      <protection locked="0"/>
    </xf>
    <xf numFmtId="166" fontId="1" fillId="0" borderId="0" xfId="0" applyNumberFormat="1" applyFont="1" applyBorder="1" applyAlignment="1" applyProtection="1">
      <alignment vertical="center"/>
      <protection locked="0"/>
    </xf>
    <xf numFmtId="0" fontId="1" fillId="0" borderId="0" xfId="0" applyFont="1" applyBorder="1" applyAlignment="1" applyProtection="1">
      <alignment vertical="center"/>
      <protection locked="0"/>
    </xf>
    <xf numFmtId="0" fontId="1" fillId="0" borderId="0" xfId="0" applyFont="1" applyBorder="1" applyAlignment="1" applyProtection="1">
      <alignment horizontal="center" vertical="center"/>
      <protection locked="0"/>
    </xf>
    <xf numFmtId="3" fontId="1" fillId="0" borderId="0" xfId="0" applyNumberFormat="1" applyFont="1" applyBorder="1" applyAlignment="1" applyProtection="1">
      <alignment vertical="center"/>
      <protection locked="0"/>
    </xf>
    <xf numFmtId="166" fontId="17" fillId="0" borderId="0" xfId="0" applyNumberFormat="1" applyFont="1" applyAlignment="1">
      <alignment vertical="center"/>
    </xf>
    <xf numFmtId="0" fontId="92" fillId="0" borderId="35" xfId="0" applyFont="1" applyFill="1" applyBorder="1" applyAlignment="1">
      <alignment horizontal="center" vertical="center"/>
    </xf>
    <xf numFmtId="14" fontId="17" fillId="0" borderId="0" xfId="0" applyNumberFormat="1" applyFont="1" applyAlignment="1">
      <alignment vertical="center"/>
    </xf>
    <xf numFmtId="3" fontId="17" fillId="0" borderId="0" xfId="0" applyNumberFormat="1" applyFont="1" applyFill="1" applyAlignment="1">
      <alignment vertical="center"/>
    </xf>
    <xf numFmtId="0" fontId="1" fillId="0" borderId="0" xfId="35" applyFont="1" applyBorder="1" applyAlignment="1">
      <alignment horizontal="center" vertical="center"/>
    </xf>
    <xf numFmtId="0" fontId="10" fillId="0" borderId="0" xfId="0" quotePrefix="1" applyFont="1"/>
    <xf numFmtId="14" fontId="3" fillId="0" borderId="0" xfId="0" applyNumberFormat="1" applyFont="1" applyFill="1" applyAlignment="1">
      <alignment horizontal="left"/>
    </xf>
    <xf numFmtId="0" fontId="24" fillId="29" borderId="0" xfId="35" applyFont="1" applyFill="1"/>
    <xf numFmtId="0" fontId="8" fillId="29" borderId="0" xfId="35" applyFont="1" applyFill="1"/>
    <xf numFmtId="2" fontId="8" fillId="0" borderId="10" xfId="0" applyNumberFormat="1" applyFont="1" applyFill="1" applyBorder="1"/>
    <xf numFmtId="0" fontId="8" fillId="29" borderId="0" xfId="35" applyFont="1" applyFill="1" applyBorder="1"/>
    <xf numFmtId="0" fontId="8" fillId="0" borderId="31" xfId="35" applyFont="1" applyFill="1" applyBorder="1" applyProtection="1">
      <protection locked="0"/>
    </xf>
    <xf numFmtId="49" fontId="0" fillId="0" borderId="0" xfId="0" applyNumberFormat="1" applyProtection="1"/>
    <xf numFmtId="49" fontId="1" fillId="0" borderId="0" xfId="0" applyNumberFormat="1" applyFont="1" applyBorder="1" applyAlignment="1" applyProtection="1">
      <alignment vertical="center"/>
      <protection locked="0"/>
    </xf>
    <xf numFmtId="49" fontId="0" fillId="0" borderId="0" xfId="0" applyNumberFormat="1" applyAlignment="1" applyProtection="1">
      <alignment vertical="center"/>
      <protection locked="0"/>
    </xf>
    <xf numFmtId="0" fontId="0" fillId="0" borderId="0" xfId="0" applyNumberFormat="1" applyProtection="1"/>
    <xf numFmtId="0" fontId="3" fillId="24" borderId="10" xfId="0" applyNumberFormat="1" applyFont="1" applyFill="1" applyBorder="1" applyAlignment="1" applyProtection="1">
      <alignment horizontal="center" vertical="center" textRotation="90"/>
      <protection locked="0"/>
    </xf>
    <xf numFmtId="0" fontId="0" fillId="30" borderId="0" xfId="0" applyNumberFormat="1" applyFill="1" applyProtection="1"/>
    <xf numFmtId="0" fontId="24" fillId="0" borderId="0" xfId="35" applyFont="1" applyFill="1"/>
    <xf numFmtId="2" fontId="8" fillId="0" borderId="0" xfId="35" applyNumberFormat="1" applyFont="1" applyFill="1" applyBorder="1"/>
    <xf numFmtId="0" fontId="67" fillId="30" borderId="0" xfId="35" applyFont="1" applyFill="1"/>
    <xf numFmtId="0" fontId="67" fillId="35" borderId="0" xfId="35" applyFont="1" applyFill="1" applyAlignment="1">
      <alignment horizontal="left"/>
    </xf>
    <xf numFmtId="0" fontId="91" fillId="0" borderId="0" xfId="0" applyFont="1" applyAlignment="1" applyProtection="1">
      <alignment horizontal="right" vertical="center"/>
    </xf>
    <xf numFmtId="167" fontId="91" fillId="0" borderId="0" xfId="0" applyNumberFormat="1" applyFont="1" applyAlignment="1">
      <alignment horizontal="right"/>
    </xf>
    <xf numFmtId="0" fontId="3" fillId="0" borderId="0" xfId="0" applyNumberFormat="1" applyFont="1" applyFill="1" applyAlignment="1">
      <alignment horizontal="right"/>
    </xf>
    <xf numFmtId="2" fontId="1" fillId="27" borderId="0" xfId="0" applyNumberFormat="1" applyFont="1" applyFill="1" applyAlignment="1">
      <alignment vertical="center"/>
    </xf>
    <xf numFmtId="2" fontId="0" fillId="29" borderId="0" xfId="0" applyNumberFormat="1" applyFill="1" applyAlignment="1">
      <alignment horizontal="center" vertical="center"/>
    </xf>
    <xf numFmtId="0" fontId="70" fillId="0" borderId="0" xfId="0" applyFont="1" applyFill="1" applyAlignment="1" applyProtection="1">
      <alignment horizontal="left" vertical="center"/>
    </xf>
    <xf numFmtId="0" fontId="23" fillId="0" borderId="0" xfId="0" applyFont="1" applyFill="1" applyAlignment="1" applyProtection="1">
      <alignment horizontal="left" vertical="center"/>
    </xf>
    <xf numFmtId="0" fontId="3" fillId="0" borderId="0" xfId="0" applyFont="1" applyAlignment="1">
      <alignment horizontal="left"/>
    </xf>
    <xf numFmtId="0" fontId="10" fillId="0" borderId="15" xfId="0" applyFont="1" applyBorder="1" applyAlignment="1" applyProtection="1">
      <alignment vertical="center"/>
    </xf>
    <xf numFmtId="3" fontId="75" fillId="40" borderId="0" xfId="0" applyNumberFormat="1" applyFont="1" applyFill="1" applyAlignment="1">
      <alignment horizontal="center"/>
    </xf>
    <xf numFmtId="0" fontId="3" fillId="0" borderId="0" xfId="0" applyFont="1" applyFill="1" applyBorder="1" applyAlignment="1" applyProtection="1"/>
    <xf numFmtId="0" fontId="3" fillId="0" borderId="0" xfId="0" applyFont="1" applyAlignment="1" applyProtection="1">
      <alignment horizontal="center" vertical="center" textRotation="90"/>
    </xf>
    <xf numFmtId="0" fontId="1" fillId="0" borderId="0" xfId="0" applyFont="1" applyBorder="1" applyAlignment="1" applyProtection="1">
      <alignment vertical="center"/>
    </xf>
    <xf numFmtId="49" fontId="0" fillId="0" borderId="0" xfId="0" applyNumberFormat="1"/>
    <xf numFmtId="49" fontId="10" fillId="0" borderId="0" xfId="0" applyNumberFormat="1" applyFont="1"/>
    <xf numFmtId="49" fontId="6" fillId="0" borderId="0" xfId="0" applyNumberFormat="1" applyFont="1"/>
    <xf numFmtId="49" fontId="3" fillId="0" borderId="0" xfId="0" applyNumberFormat="1" applyFont="1"/>
    <xf numFmtId="3" fontId="102" fillId="0" borderId="0" xfId="0" applyNumberFormat="1" applyFont="1" applyAlignment="1">
      <alignment horizontal="center" vertical="center"/>
    </xf>
    <xf numFmtId="0" fontId="103" fillId="0" borderId="0" xfId="0" applyFont="1" applyFill="1" applyProtection="1"/>
    <xf numFmtId="0" fontId="0" fillId="0" borderId="0" xfId="0" applyFill="1" applyProtection="1"/>
    <xf numFmtId="0" fontId="17" fillId="0" borderId="0" xfId="0" applyFont="1" applyFill="1" applyBorder="1"/>
    <xf numFmtId="167" fontId="10" fillId="55" borderId="12" xfId="0" applyNumberFormat="1" applyFont="1" applyFill="1" applyBorder="1" applyAlignment="1" applyProtection="1">
      <alignment horizontal="center" vertical="center"/>
      <protection locked="0"/>
    </xf>
    <xf numFmtId="3" fontId="10" fillId="55" borderId="12" xfId="0" applyNumberFormat="1" applyFont="1" applyFill="1" applyBorder="1" applyAlignment="1" applyProtection="1">
      <alignment vertical="center"/>
      <protection locked="0"/>
    </xf>
    <xf numFmtId="9" fontId="10" fillId="55" borderId="12" xfId="0" applyNumberFormat="1" applyFont="1" applyFill="1" applyBorder="1" applyAlignment="1" applyProtection="1">
      <alignment vertical="center"/>
      <protection locked="0"/>
    </xf>
    <xf numFmtId="4" fontId="10" fillId="55" borderId="12" xfId="0" applyNumberFormat="1" applyFont="1" applyFill="1" applyBorder="1" applyAlignment="1" applyProtection="1">
      <alignment vertical="center"/>
      <protection locked="0"/>
    </xf>
    <xf numFmtId="10" fontId="10" fillId="55" borderId="12" xfId="0" applyNumberFormat="1" applyFont="1" applyFill="1" applyBorder="1" applyAlignment="1" applyProtection="1">
      <alignment horizontal="right" vertical="center"/>
      <protection locked="0"/>
    </xf>
    <xf numFmtId="4" fontId="10" fillId="0" borderId="17" xfId="0" applyNumberFormat="1" applyFont="1" applyFill="1" applyBorder="1" applyAlignment="1">
      <alignment horizontal="right" vertical="center"/>
    </xf>
    <xf numFmtId="4" fontId="10" fillId="56" borderId="10" xfId="0" applyNumberFormat="1" applyFont="1" applyFill="1" applyBorder="1" applyAlignment="1">
      <alignment horizontal="right" vertical="center"/>
    </xf>
    <xf numFmtId="4" fontId="10" fillId="56" borderId="17" xfId="0" applyNumberFormat="1" applyFont="1" applyFill="1" applyBorder="1" applyAlignment="1">
      <alignment horizontal="right" vertical="center"/>
    </xf>
    <xf numFmtId="4" fontId="3" fillId="57" borderId="10" xfId="0" applyNumberFormat="1" applyFont="1" applyFill="1" applyBorder="1" applyAlignment="1">
      <alignment horizontal="center" vertical="top" wrapText="1"/>
    </xf>
    <xf numFmtId="2" fontId="10" fillId="28" borderId="0" xfId="0" applyNumberFormat="1" applyFont="1" applyFill="1"/>
    <xf numFmtId="0" fontId="27" fillId="58" borderId="15" xfId="0" applyFont="1" applyFill="1" applyBorder="1"/>
    <xf numFmtId="0" fontId="61" fillId="58" borderId="15" xfId="0" applyFont="1" applyFill="1" applyBorder="1"/>
    <xf numFmtId="4" fontId="61" fillId="58" borderId="15" xfId="0" applyNumberFormat="1" applyFont="1" applyFill="1" applyBorder="1"/>
    <xf numFmtId="4" fontId="27" fillId="58" borderId="15" xfId="0" applyNumberFormat="1" applyFont="1" applyFill="1" applyBorder="1" applyAlignment="1">
      <alignment horizontal="right"/>
    </xf>
    <xf numFmtId="0" fontId="3" fillId="58" borderId="15" xfId="0" applyFont="1" applyFill="1" applyBorder="1" applyAlignment="1">
      <alignment horizontal="right"/>
    </xf>
    <xf numFmtId="0" fontId="3" fillId="58" borderId="15" xfId="0" applyFont="1" applyFill="1" applyBorder="1"/>
    <xf numFmtId="4" fontId="3" fillId="58" borderId="15" xfId="0" applyNumberFormat="1" applyFont="1" applyFill="1" applyBorder="1" applyAlignment="1">
      <alignment horizontal="right"/>
    </xf>
    <xf numFmtId="0" fontId="27" fillId="59" borderId="15" xfId="35" applyFont="1" applyFill="1" applyBorder="1" applyAlignment="1">
      <alignment vertical="center"/>
    </xf>
    <xf numFmtId="0" fontId="61" fillId="59" borderId="15" xfId="35" applyFont="1" applyFill="1" applyBorder="1" applyAlignment="1">
      <alignment vertical="center"/>
    </xf>
    <xf numFmtId="0" fontId="5" fillId="59" borderId="15" xfId="35" applyFont="1" applyFill="1" applyBorder="1" applyAlignment="1">
      <alignment horizontal="right" vertical="center"/>
    </xf>
    <xf numFmtId="0" fontId="3" fillId="58" borderId="0" xfId="35" applyFont="1" applyFill="1" applyAlignment="1">
      <alignment vertical="center"/>
    </xf>
    <xf numFmtId="0" fontId="5" fillId="58" borderId="0" xfId="35" applyFont="1" applyFill="1" applyAlignment="1">
      <alignment horizontal="right" vertical="center"/>
    </xf>
    <xf numFmtId="0" fontId="10" fillId="58" borderId="0" xfId="35" applyFont="1" applyFill="1" applyAlignment="1">
      <alignment vertical="center"/>
    </xf>
    <xf numFmtId="9" fontId="3" fillId="58" borderId="0" xfId="35" applyNumberFormat="1" applyFont="1" applyFill="1" applyAlignment="1">
      <alignment horizontal="right" vertical="center"/>
    </xf>
    <xf numFmtId="0" fontId="3" fillId="0" borderId="0" xfId="0" applyFont="1" applyAlignment="1">
      <alignment horizontal="right"/>
    </xf>
    <xf numFmtId="4" fontId="3" fillId="0" borderId="0" xfId="0" applyNumberFormat="1" applyFont="1" applyAlignment="1">
      <alignment horizontal="right"/>
    </xf>
    <xf numFmtId="9" fontId="3" fillId="0" borderId="0" xfId="0" applyNumberFormat="1" applyFont="1"/>
    <xf numFmtId="0" fontId="3" fillId="0" borderId="0" xfId="0" applyFont="1" applyAlignment="1">
      <alignment horizontal="center"/>
    </xf>
    <xf numFmtId="9" fontId="3" fillId="0" borderId="0" xfId="0" applyNumberFormat="1" applyFont="1" applyAlignment="1">
      <alignment horizontal="right"/>
    </xf>
    <xf numFmtId="3" fontId="10" fillId="0" borderId="0" xfId="0" applyNumberFormat="1" applyFont="1"/>
    <xf numFmtId="3" fontId="10" fillId="0" borderId="0" xfId="0" applyNumberFormat="1" applyFont="1" applyAlignment="1">
      <alignment horizontal="right"/>
    </xf>
    <xf numFmtId="3" fontId="10" fillId="0" borderId="0" xfId="0" applyNumberFormat="1" applyFont="1" applyFill="1"/>
    <xf numFmtId="49" fontId="10" fillId="0" borderId="0" xfId="0" applyNumberFormat="1" applyFont="1" applyAlignment="1">
      <alignment horizontal="left" vertical="center"/>
    </xf>
    <xf numFmtId="4" fontId="10" fillId="0" borderId="0" xfId="0" applyNumberFormat="1" applyFont="1" applyAlignment="1">
      <alignment vertical="center"/>
    </xf>
    <xf numFmtId="3" fontId="10" fillId="0" borderId="0" xfId="0" applyNumberFormat="1" applyFont="1" applyAlignment="1">
      <alignment horizontal="right" vertical="center"/>
    </xf>
    <xf numFmtId="49" fontId="3" fillId="0" borderId="0" xfId="0" applyNumberFormat="1" applyFont="1" applyAlignment="1">
      <alignment horizontal="right"/>
    </xf>
    <xf numFmtId="3" fontId="10" fillId="0" borderId="0" xfId="0" applyNumberFormat="1" applyFont="1" applyFill="1" applyAlignment="1">
      <alignment horizontal="right"/>
    </xf>
    <xf numFmtId="4" fontId="10" fillId="60" borderId="0" xfId="0" applyNumberFormat="1" applyFont="1" applyFill="1" applyAlignment="1">
      <alignment horizontal="right" vertical="center"/>
    </xf>
    <xf numFmtId="2" fontId="10" fillId="60" borderId="0" xfId="0" applyNumberFormat="1" applyFont="1" applyFill="1" applyAlignment="1">
      <alignment horizontal="right" vertical="center"/>
    </xf>
    <xf numFmtId="49" fontId="10" fillId="0" borderId="0" xfId="0" applyNumberFormat="1" applyFont="1" applyAlignment="1">
      <alignment horizontal="left" vertical="top"/>
    </xf>
    <xf numFmtId="0" fontId="10" fillId="0" borderId="0" xfId="0" applyFont="1" applyFill="1" applyAlignment="1">
      <alignment vertical="top"/>
    </xf>
    <xf numFmtId="0" fontId="10" fillId="0" borderId="0" xfId="0" applyFont="1" applyAlignment="1">
      <alignment vertical="top"/>
    </xf>
    <xf numFmtId="9" fontId="10" fillId="0" borderId="0" xfId="0" applyNumberFormat="1" applyFont="1" applyAlignment="1">
      <alignment vertical="top"/>
    </xf>
    <xf numFmtId="0" fontId="10" fillId="0" borderId="0" xfId="0" applyFont="1" applyAlignment="1">
      <alignment horizontal="right" vertical="top"/>
    </xf>
    <xf numFmtId="3" fontId="10" fillId="0" borderId="0" xfId="0" applyNumberFormat="1" applyFont="1" applyAlignment="1">
      <alignment vertical="top"/>
    </xf>
    <xf numFmtId="0" fontId="14" fillId="0" borderId="0" xfId="0" applyFont="1" applyFill="1"/>
    <xf numFmtId="0" fontId="17" fillId="57" borderId="0" xfId="0" applyFont="1" applyFill="1"/>
    <xf numFmtId="0" fontId="15" fillId="57" borderId="0" xfId="0" applyFont="1" applyFill="1" applyAlignment="1">
      <alignment horizontal="right"/>
    </xf>
    <xf numFmtId="4" fontId="16" fillId="0" borderId="0" xfId="0" applyNumberFormat="1" applyFont="1"/>
    <xf numFmtId="2" fontId="2" fillId="0" borderId="10" xfId="0" applyNumberFormat="1" applyFont="1" applyBorder="1" applyProtection="1"/>
    <xf numFmtId="2" fontId="2" fillId="0" borderId="10" xfId="0" applyNumberFormat="1" applyFont="1" applyBorder="1"/>
    <xf numFmtId="0" fontId="106" fillId="0" borderId="0" xfId="0" applyFont="1" applyAlignment="1" applyProtection="1">
      <alignment vertical="center"/>
    </xf>
    <xf numFmtId="0" fontId="60" fillId="0" borderId="0" xfId="0" applyFont="1"/>
    <xf numFmtId="0" fontId="15" fillId="0" borderId="0" xfId="0" applyFont="1" applyFill="1" applyAlignment="1" applyProtection="1">
      <alignment horizontal="left" vertical="center"/>
    </xf>
    <xf numFmtId="0" fontId="0" fillId="0" borderId="0" xfId="0" applyFont="1" applyFill="1"/>
    <xf numFmtId="0" fontId="81" fillId="0" borderId="0" xfId="0" quotePrefix="1" applyFont="1" applyAlignment="1" applyProtection="1">
      <alignment horizontal="right" vertical="center"/>
    </xf>
    <xf numFmtId="0" fontId="81" fillId="0" borderId="0" xfId="0" applyFont="1" applyProtection="1">
      <protection locked="0"/>
    </xf>
    <xf numFmtId="49" fontId="32" fillId="0" borderId="0" xfId="34" applyNumberFormat="1" applyFont="1" applyAlignment="1">
      <alignment horizontal="left"/>
    </xf>
    <xf numFmtId="0" fontId="33" fillId="0" borderId="0" xfId="34" applyFont="1"/>
    <xf numFmtId="4" fontId="33" fillId="0" borderId="0" xfId="34" applyNumberFormat="1" applyFont="1"/>
    <xf numFmtId="4" fontId="74" fillId="40" borderId="0" xfId="34" applyNumberFormat="1" applyFont="1" applyFill="1" applyAlignment="1">
      <alignment horizontal="center"/>
    </xf>
    <xf numFmtId="0" fontId="15" fillId="0" borderId="0" xfId="34" applyFont="1"/>
    <xf numFmtId="0" fontId="13" fillId="0" borderId="0" xfId="34" applyFont="1"/>
    <xf numFmtId="0" fontId="60" fillId="0" borderId="0" xfId="34" applyFont="1"/>
    <xf numFmtId="0" fontId="10" fillId="0" borderId="0" xfId="34"/>
    <xf numFmtId="0" fontId="94" fillId="61" borderId="13" xfId="34" applyFont="1" applyFill="1" applyBorder="1"/>
    <xf numFmtId="0" fontId="96" fillId="61" borderId="10" xfId="34" applyFont="1" applyFill="1" applyBorder="1" applyAlignment="1">
      <alignment horizontal="center"/>
    </xf>
    <xf numFmtId="1" fontId="96" fillId="61" borderId="10" xfId="34" applyNumberFormat="1" applyFont="1" applyFill="1" applyBorder="1" applyAlignment="1">
      <alignment horizontal="center"/>
    </xf>
    <xf numFmtId="0" fontId="97" fillId="62" borderId="10" xfId="34" applyFont="1" applyFill="1" applyBorder="1"/>
    <xf numFmtId="0" fontId="94" fillId="62" borderId="10" xfId="34" applyFont="1" applyFill="1" applyBorder="1"/>
    <xf numFmtId="10" fontId="96" fillId="62" borderId="10" xfId="34" applyNumberFormat="1" applyFont="1" applyFill="1" applyBorder="1"/>
    <xf numFmtId="0" fontId="96" fillId="61" borderId="10" xfId="34" applyFont="1" applyFill="1" applyBorder="1"/>
    <xf numFmtId="10" fontId="98" fillId="28" borderId="10" xfId="34" applyNumberFormat="1" applyFont="1" applyFill="1" applyBorder="1" applyAlignment="1" applyProtection="1">
      <alignment horizontal="center"/>
    </xf>
    <xf numFmtId="10" fontId="98" fillId="28" borderId="11" xfId="34" applyNumberFormat="1" applyFont="1" applyFill="1" applyBorder="1" applyAlignment="1" applyProtection="1">
      <alignment horizontal="center"/>
    </xf>
    <xf numFmtId="0" fontId="94" fillId="63" borderId="10" xfId="34" applyFont="1" applyFill="1" applyBorder="1"/>
    <xf numFmtId="171" fontId="94" fillId="63" borderId="10" xfId="34" applyNumberFormat="1" applyFont="1" applyFill="1" applyBorder="1"/>
    <xf numFmtId="0" fontId="94" fillId="54" borderId="10" xfId="34" applyFont="1" applyFill="1" applyBorder="1"/>
    <xf numFmtId="0" fontId="36" fillId="0" borderId="0" xfId="34" applyNumberFormat="1" applyFont="1" applyAlignment="1">
      <alignment horizontal="left"/>
    </xf>
    <xf numFmtId="0" fontId="3" fillId="0" borderId="0" xfId="34" applyNumberFormat="1" applyFont="1" applyFill="1" applyAlignment="1">
      <alignment horizontal="right"/>
    </xf>
    <xf numFmtId="0" fontId="96" fillId="64" borderId="13" xfId="34" applyFont="1" applyFill="1" applyBorder="1"/>
    <xf numFmtId="172" fontId="98" fillId="64" borderId="0" xfId="34" applyNumberFormat="1" applyFont="1" applyFill="1" applyAlignment="1">
      <alignment horizontal="right"/>
    </xf>
    <xf numFmtId="0" fontId="96" fillId="64" borderId="10" xfId="34" applyFont="1" applyFill="1" applyBorder="1"/>
    <xf numFmtId="4" fontId="74" fillId="40" borderId="0" xfId="34" applyNumberFormat="1" applyFont="1" applyFill="1" applyAlignment="1">
      <alignment horizontal="center" vertical="center"/>
    </xf>
    <xf numFmtId="173" fontId="94" fillId="61" borderId="10" xfId="34" applyNumberFormat="1" applyFont="1" applyFill="1" applyBorder="1" applyAlignment="1">
      <alignment horizontal="right"/>
    </xf>
    <xf numFmtId="0" fontId="33" fillId="0" borderId="0" xfId="34" applyFont="1" applyAlignment="1">
      <alignment vertical="center"/>
    </xf>
    <xf numFmtId="0" fontId="18" fillId="0" borderId="14" xfId="36" applyFont="1" applyFill="1" applyBorder="1" applyAlignment="1">
      <alignment vertical="center"/>
    </xf>
    <xf numFmtId="0" fontId="18" fillId="0" borderId="14" xfId="36" applyFont="1" applyFill="1" applyBorder="1" applyAlignment="1">
      <alignment horizontal="left" vertical="center"/>
    </xf>
    <xf numFmtId="14" fontId="104" fillId="53" borderId="14" xfId="36" applyNumberFormat="1" applyFont="1" applyFill="1" applyBorder="1" applyAlignment="1">
      <alignment horizontal="left" vertical="center"/>
    </xf>
    <xf numFmtId="0" fontId="104" fillId="53" borderId="14" xfId="36" applyFont="1" applyFill="1" applyBorder="1" applyAlignment="1">
      <alignment vertical="center"/>
    </xf>
    <xf numFmtId="0" fontId="104" fillId="0" borderId="14" xfId="36" applyFont="1" applyBorder="1" applyAlignment="1">
      <alignment vertical="center"/>
    </xf>
    <xf numFmtId="0" fontId="104" fillId="0" borderId="14" xfId="36" applyFont="1" applyBorder="1" applyAlignment="1">
      <alignment horizontal="left" vertical="center"/>
    </xf>
    <xf numFmtId="0" fontId="104" fillId="0" borderId="14" xfId="36" applyFont="1" applyFill="1" applyBorder="1" applyAlignment="1">
      <alignment horizontal="right" vertical="center"/>
    </xf>
    <xf numFmtId="0" fontId="15" fillId="0" borderId="0" xfId="36" applyFont="1" applyAlignment="1">
      <alignment vertical="center"/>
    </xf>
    <xf numFmtId="0" fontId="15" fillId="0" borderId="15" xfId="36" applyFont="1" applyFill="1" applyBorder="1" applyAlignment="1">
      <alignment horizontal="left" vertical="center"/>
    </xf>
    <xf numFmtId="1" fontId="105" fillId="53" borderId="15" xfId="36" applyNumberFormat="1" applyFont="1" applyFill="1" applyBorder="1" applyAlignment="1">
      <alignment horizontal="left" vertical="center"/>
    </xf>
    <xf numFmtId="0" fontId="105" fillId="53" borderId="15" xfId="36" applyFont="1" applyFill="1" applyBorder="1" applyAlignment="1">
      <alignment horizontal="left" vertical="center"/>
    </xf>
    <xf numFmtId="0" fontId="105" fillId="0" borderId="15" xfId="36" applyFont="1" applyBorder="1" applyAlignment="1">
      <alignment horizontal="left" vertical="center"/>
    </xf>
    <xf numFmtId="0" fontId="105" fillId="0" borderId="15" xfId="36" applyFont="1" applyFill="1" applyBorder="1" applyAlignment="1">
      <alignment horizontal="right" vertical="center"/>
    </xf>
    <xf numFmtId="0" fontId="5" fillId="0" borderId="0" xfId="36"/>
    <xf numFmtId="0" fontId="10" fillId="0" borderId="0" xfId="36" applyFont="1"/>
    <xf numFmtId="0" fontId="107" fillId="0" borderId="0" xfId="36" applyFont="1" applyAlignment="1">
      <alignment horizontal="right"/>
    </xf>
    <xf numFmtId="0" fontId="61" fillId="0" borderId="0" xfId="34" applyFont="1"/>
    <xf numFmtId="49" fontId="27" fillId="0" borderId="0" xfId="34" applyNumberFormat="1" applyFont="1" applyAlignment="1">
      <alignment horizontal="left"/>
    </xf>
    <xf numFmtId="0" fontId="27" fillId="58" borderId="15" xfId="34" applyFont="1" applyFill="1" applyBorder="1"/>
    <xf numFmtId="0" fontId="10" fillId="0" borderId="0" xfId="34" applyFont="1"/>
    <xf numFmtId="49" fontId="10" fillId="0" borderId="0" xfId="34" applyNumberFormat="1" applyFont="1" applyAlignment="1">
      <alignment horizontal="left"/>
    </xf>
    <xf numFmtId="4" fontId="108" fillId="0" borderId="0" xfId="34" applyNumberFormat="1" applyFont="1" applyFill="1" applyAlignment="1">
      <alignment horizontal="right"/>
    </xf>
    <xf numFmtId="4" fontId="10" fillId="0" borderId="0" xfId="34" applyNumberFormat="1" applyFont="1" applyAlignment="1">
      <alignment horizontal="right"/>
    </xf>
    <xf numFmtId="0" fontId="10" fillId="0" borderId="0" xfId="34" applyFont="1" applyFill="1"/>
    <xf numFmtId="14" fontId="108" fillId="0" borderId="0" xfId="34" applyNumberFormat="1" applyFont="1" applyFill="1"/>
    <xf numFmtId="14" fontId="10" fillId="0" borderId="0" xfId="34" applyNumberFormat="1" applyFont="1" applyAlignment="1">
      <alignment horizontal="right"/>
    </xf>
    <xf numFmtId="4" fontId="75" fillId="40" borderId="0" xfId="34" applyNumberFormat="1" applyFont="1" applyFill="1" applyAlignment="1">
      <alignment horizontal="center"/>
    </xf>
    <xf numFmtId="167" fontId="108" fillId="0" borderId="0" xfId="34" applyNumberFormat="1" applyFont="1" applyFill="1"/>
    <xf numFmtId="167" fontId="10" fillId="0" borderId="0" xfId="34" applyNumberFormat="1" applyFont="1" applyAlignment="1">
      <alignment horizontal="right"/>
    </xf>
    <xf numFmtId="3" fontId="10" fillId="0" borderId="0" xfId="34" applyNumberFormat="1" applyFont="1" applyAlignment="1">
      <alignment horizontal="right"/>
    </xf>
    <xf numFmtId="3" fontId="108" fillId="0" borderId="0" xfId="34" applyNumberFormat="1" applyFont="1" applyFill="1"/>
    <xf numFmtId="0" fontId="10" fillId="0" borderId="0" xfId="34" applyFont="1" applyAlignment="1">
      <alignment horizontal="right"/>
    </xf>
    <xf numFmtId="49" fontId="10" fillId="0" borderId="0" xfId="34" applyNumberFormat="1" applyFont="1" applyAlignment="1">
      <alignment horizontal="left" vertical="top"/>
    </xf>
    <xf numFmtId="0" fontId="10" fillId="0" borderId="0" xfId="34" applyFont="1" applyFill="1" applyAlignment="1">
      <alignment vertical="top"/>
    </xf>
    <xf numFmtId="0" fontId="10" fillId="0" borderId="0" xfId="34" applyFont="1" applyAlignment="1">
      <alignment vertical="top"/>
    </xf>
    <xf numFmtId="1" fontId="108" fillId="0" borderId="0" xfId="34" applyNumberFormat="1" applyFont="1" applyFill="1" applyAlignment="1">
      <alignment vertical="top"/>
    </xf>
    <xf numFmtId="0" fontId="10" fillId="0" borderId="0" xfId="34" applyFont="1" applyAlignment="1">
      <alignment horizontal="right" vertical="top"/>
    </xf>
    <xf numFmtId="4" fontId="10" fillId="0" borderId="0" xfId="34" applyNumberFormat="1" applyFont="1" applyAlignment="1">
      <alignment horizontal="right" vertical="top"/>
    </xf>
    <xf numFmtId="0" fontId="15" fillId="0" borderId="0" xfId="34" applyFont="1" applyBorder="1"/>
    <xf numFmtId="0" fontId="15" fillId="0" borderId="0" xfId="34" applyFont="1" applyBorder="1" applyAlignment="1">
      <alignment horizontal="right"/>
    </xf>
    <xf numFmtId="9" fontId="10" fillId="0" borderId="0" xfId="34" applyNumberFormat="1" applyFont="1" applyFill="1" applyAlignment="1">
      <alignment vertical="top"/>
    </xf>
    <xf numFmtId="4" fontId="76" fillId="40" borderId="0" xfId="34" applyNumberFormat="1" applyFont="1" applyFill="1" applyBorder="1" applyAlignment="1">
      <alignment horizontal="center"/>
    </xf>
    <xf numFmtId="174" fontId="109" fillId="65" borderId="0" xfId="34" applyNumberFormat="1" applyFont="1" applyFill="1" applyBorder="1"/>
    <xf numFmtId="3" fontId="110" fillId="65" borderId="0" xfId="34" applyNumberFormat="1" applyFont="1" applyFill="1"/>
    <xf numFmtId="174" fontId="99" fillId="0" borderId="0" xfId="34" applyNumberFormat="1" applyFont="1" applyBorder="1"/>
    <xf numFmtId="0" fontId="100" fillId="0" borderId="0" xfId="34" applyFont="1" applyBorder="1"/>
    <xf numFmtId="49" fontId="3" fillId="0" borderId="0" xfId="34" applyNumberFormat="1" applyFont="1" applyAlignment="1">
      <alignment horizontal="left"/>
    </xf>
    <xf numFmtId="0" fontId="111" fillId="0" borderId="0" xfId="34" applyFont="1"/>
    <xf numFmtId="0" fontId="3" fillId="0" borderId="0" xfId="34" applyFont="1"/>
    <xf numFmtId="0" fontId="112" fillId="66" borderId="0" xfId="34" applyFont="1" applyFill="1"/>
    <xf numFmtId="4" fontId="10" fillId="0" borderId="0" xfId="34" applyNumberFormat="1" applyFont="1"/>
    <xf numFmtId="174" fontId="10" fillId="0" borderId="0" xfId="34" applyNumberFormat="1" applyFont="1"/>
    <xf numFmtId="0" fontId="16" fillId="0" borderId="0" xfId="34" applyFont="1"/>
    <xf numFmtId="3" fontId="10" fillId="0" borderId="0" xfId="34" applyNumberFormat="1" applyFont="1" applyFill="1"/>
    <xf numFmtId="3" fontId="10" fillId="0" borderId="0" xfId="34" applyNumberFormat="1" applyFont="1" applyFill="1" applyAlignment="1">
      <alignment horizontal="right"/>
    </xf>
    <xf numFmtId="174" fontId="10" fillId="0" borderId="0" xfId="34" applyNumberFormat="1" applyFont="1" applyFill="1" applyAlignment="1">
      <alignment horizontal="right"/>
    </xf>
    <xf numFmtId="0" fontId="3" fillId="0" borderId="0" xfId="34" applyFont="1" applyAlignment="1">
      <alignment horizontal="center"/>
    </xf>
    <xf numFmtId="49" fontId="10" fillId="0" borderId="0" xfId="34" applyNumberFormat="1" applyFont="1" applyAlignment="1">
      <alignment horizontal="right"/>
    </xf>
    <xf numFmtId="0" fontId="83" fillId="0" borderId="0" xfId="34" applyFont="1"/>
    <xf numFmtId="9" fontId="3" fillId="0" borderId="0" xfId="34" applyNumberFormat="1" applyFont="1"/>
    <xf numFmtId="9" fontId="3" fillId="0" borderId="0" xfId="34" applyNumberFormat="1" applyFont="1" applyAlignment="1">
      <alignment horizontal="right"/>
    </xf>
    <xf numFmtId="174" fontId="3" fillId="0" borderId="0" xfId="34" applyNumberFormat="1" applyFont="1" applyAlignment="1">
      <alignment horizontal="right"/>
    </xf>
    <xf numFmtId="174" fontId="10" fillId="0" borderId="0" xfId="34" applyNumberFormat="1" applyFont="1" applyAlignment="1">
      <alignment horizontal="right"/>
    </xf>
    <xf numFmtId="10" fontId="10" fillId="0" borderId="0" xfId="34" applyNumberFormat="1" applyFont="1"/>
    <xf numFmtId="0" fontId="15" fillId="0" borderId="0" xfId="34" applyFont="1" applyFill="1" applyBorder="1"/>
    <xf numFmtId="0" fontId="12" fillId="0" borderId="0" xfId="34" applyFont="1"/>
    <xf numFmtId="174" fontId="10" fillId="0" borderId="15" xfId="34" applyNumberFormat="1" applyFont="1" applyBorder="1" applyAlignment="1">
      <alignment horizontal="right"/>
    </xf>
    <xf numFmtId="174" fontId="3" fillId="0" borderId="0" xfId="34" applyNumberFormat="1" applyFont="1"/>
    <xf numFmtId="174" fontId="16" fillId="0" borderId="0" xfId="34" applyNumberFormat="1" applyFont="1"/>
    <xf numFmtId="4" fontId="16" fillId="0" borderId="0" xfId="34" applyNumberFormat="1" applyFont="1"/>
    <xf numFmtId="4" fontId="75" fillId="40" borderId="0" xfId="34" applyNumberFormat="1" applyFont="1" applyFill="1" applyBorder="1" applyAlignment="1">
      <alignment horizontal="center"/>
    </xf>
    <xf numFmtId="0" fontId="65" fillId="0" borderId="0" xfId="34" applyFont="1" applyFill="1" applyBorder="1"/>
    <xf numFmtId="3" fontId="10" fillId="0" borderId="0" xfId="34" applyNumberFormat="1" applyFont="1"/>
    <xf numFmtId="4" fontId="15" fillId="0" borderId="0" xfId="34" applyNumberFormat="1" applyFont="1" applyFill="1" applyBorder="1"/>
    <xf numFmtId="4" fontId="78" fillId="40" borderId="0" xfId="34" applyNumberFormat="1" applyFont="1" applyFill="1" applyAlignment="1">
      <alignment horizontal="center"/>
    </xf>
    <xf numFmtId="167" fontId="91" fillId="0" borderId="0" xfId="34" applyNumberFormat="1" applyFont="1" applyAlignment="1">
      <alignment horizontal="right"/>
    </xf>
    <xf numFmtId="4" fontId="10" fillId="0" borderId="0" xfId="34" applyNumberFormat="1" applyFont="1" applyAlignment="1" applyProtection="1">
      <alignment vertical="center"/>
    </xf>
    <xf numFmtId="0" fontId="10" fillId="0" borderId="0" xfId="34" applyNumberFormat="1" applyFont="1" applyAlignment="1">
      <alignment horizontal="left"/>
    </xf>
    <xf numFmtId="4" fontId="15" fillId="0" borderId="0" xfId="34" applyNumberFormat="1" applyFont="1" applyBorder="1"/>
    <xf numFmtId="49" fontId="3" fillId="0" borderId="0" xfId="34" applyNumberFormat="1" applyFont="1" applyFill="1" applyBorder="1" applyAlignment="1">
      <alignment horizontal="left"/>
    </xf>
    <xf numFmtId="0" fontId="27" fillId="0" borderId="0" xfId="34" applyFont="1" applyFill="1" applyBorder="1"/>
    <xf numFmtId="0" fontId="61" fillId="0" borderId="0" xfId="34" applyFont="1" applyFill="1" applyBorder="1"/>
    <xf numFmtId="4" fontId="61" fillId="0" borderId="0" xfId="34" applyNumberFormat="1" applyFont="1" applyFill="1" applyBorder="1"/>
    <xf numFmtId="4" fontId="18" fillId="0" borderId="0" xfId="34" applyNumberFormat="1" applyFont="1"/>
    <xf numFmtId="0" fontId="10" fillId="0" borderId="0" xfId="34" applyFont="1" applyAlignment="1">
      <alignment vertical="center"/>
    </xf>
    <xf numFmtId="4" fontId="10" fillId="0" borderId="0" xfId="34" applyNumberFormat="1" applyFont="1" applyAlignment="1">
      <alignment vertical="center"/>
    </xf>
    <xf numFmtId="3" fontId="10" fillId="0" borderId="0" xfId="34" applyNumberFormat="1" applyFont="1" applyAlignment="1">
      <alignment horizontal="right" vertical="center"/>
    </xf>
    <xf numFmtId="49" fontId="10" fillId="0" borderId="0" xfId="34" applyNumberFormat="1" applyFont="1" applyAlignment="1">
      <alignment horizontal="left" vertical="center"/>
    </xf>
    <xf numFmtId="49" fontId="77" fillId="40" borderId="0" xfId="34" applyNumberFormat="1" applyFont="1" applyFill="1" applyAlignment="1">
      <alignment horizontal="center"/>
    </xf>
    <xf numFmtId="49" fontId="16" fillId="0" borderId="0" xfId="34" applyNumberFormat="1" applyFont="1" applyAlignment="1">
      <alignment horizontal="center"/>
    </xf>
    <xf numFmtId="49" fontId="16" fillId="0" borderId="0" xfId="34" applyNumberFormat="1" applyFont="1" applyAlignment="1">
      <alignment horizontal="center" wrapText="1"/>
    </xf>
    <xf numFmtId="4" fontId="74" fillId="0" borderId="0" xfId="34" applyNumberFormat="1" applyFont="1" applyFill="1" applyAlignment="1">
      <alignment horizontal="center"/>
    </xf>
    <xf numFmtId="49" fontId="33" fillId="0" borderId="0" xfId="34" applyNumberFormat="1" applyFont="1"/>
    <xf numFmtId="0" fontId="10" fillId="0" borderId="51" xfId="34" applyFont="1" applyBorder="1"/>
    <xf numFmtId="0" fontId="10" fillId="0" borderId="52" xfId="34" applyFont="1" applyBorder="1"/>
    <xf numFmtId="0" fontId="113" fillId="0" borderId="52" xfId="34" applyFont="1" applyBorder="1" applyAlignment="1">
      <alignment horizontal="right"/>
    </xf>
    <xf numFmtId="0" fontId="27" fillId="58" borderId="15" xfId="34" applyFont="1" applyFill="1" applyBorder="1" applyAlignment="1">
      <alignment horizontal="right"/>
    </xf>
    <xf numFmtId="1" fontId="61" fillId="58" borderId="15" xfId="34" applyNumberFormat="1" applyFont="1" applyFill="1" applyBorder="1" applyAlignment="1">
      <alignment horizontal="right"/>
    </xf>
    <xf numFmtId="174" fontId="27" fillId="58" borderId="15" xfId="34" applyNumberFormat="1" applyFont="1" applyFill="1" applyBorder="1" applyAlignment="1">
      <alignment horizontal="right"/>
    </xf>
    <xf numFmtId="3" fontId="113" fillId="56" borderId="0" xfId="34" applyNumberFormat="1" applyFont="1" applyFill="1" applyProtection="1">
      <protection locked="0"/>
    </xf>
    <xf numFmtId="3" fontId="2" fillId="55" borderId="0" xfId="0" applyNumberFormat="1" applyFont="1" applyFill="1"/>
    <xf numFmtId="174" fontId="16" fillId="0" borderId="0" xfId="34" applyNumberFormat="1" applyFont="1" applyFill="1" applyAlignment="1">
      <alignment horizontal="right"/>
    </xf>
    <xf numFmtId="0" fontId="15" fillId="0" borderId="0" xfId="0" applyFont="1" applyFill="1" applyAlignment="1">
      <alignment vertical="center"/>
    </xf>
    <xf numFmtId="0" fontId="103" fillId="0" borderId="0" xfId="0" applyFont="1" applyFill="1" applyAlignment="1" applyProtection="1">
      <alignment vertical="center"/>
    </xf>
    <xf numFmtId="1" fontId="10" fillId="55" borderId="12" xfId="0" applyNumberFormat="1" applyFont="1" applyFill="1" applyBorder="1" applyAlignment="1" applyProtection="1">
      <alignment horizontal="center" vertical="center"/>
      <protection locked="0"/>
    </xf>
    <xf numFmtId="0" fontId="15" fillId="67" borderId="0" xfId="0" applyFont="1" applyFill="1" applyAlignment="1" applyProtection="1">
      <alignment vertical="center"/>
    </xf>
    <xf numFmtId="3" fontId="17" fillId="0" borderId="0" xfId="0" applyNumberFormat="1" applyFont="1" applyFill="1" applyAlignment="1">
      <alignment horizontal="center" vertical="center"/>
    </xf>
    <xf numFmtId="0" fontId="103" fillId="0" borderId="0" xfId="0" applyFont="1"/>
    <xf numFmtId="10" fontId="10" fillId="60" borderId="0" xfId="0" applyNumberFormat="1" applyFont="1" applyFill="1" applyAlignment="1">
      <alignment horizontal="right" vertical="center"/>
    </xf>
    <xf numFmtId="2" fontId="2" fillId="0" borderId="10" xfId="0" applyNumberFormat="1" applyFont="1" applyFill="1" applyBorder="1"/>
    <xf numFmtId="0" fontId="3" fillId="0" borderId="0" xfId="0" applyFont="1" applyFill="1" applyAlignment="1">
      <alignment vertical="center"/>
    </xf>
    <xf numFmtId="3" fontId="15" fillId="0" borderId="10" xfId="0" applyNumberFormat="1" applyFont="1" applyFill="1" applyBorder="1" applyAlignment="1">
      <alignment horizontal="center" vertical="center"/>
    </xf>
    <xf numFmtId="3" fontId="101" fillId="28" borderId="0" xfId="0" applyNumberFormat="1" applyFont="1" applyFill="1" applyAlignment="1">
      <alignment horizontal="right" vertical="center"/>
    </xf>
    <xf numFmtId="3" fontId="0" fillId="0" borderId="0" xfId="0" applyNumberFormat="1" applyFill="1" applyAlignment="1">
      <alignment vertical="center"/>
    </xf>
    <xf numFmtId="1" fontId="15" fillId="24" borderId="0" xfId="0" applyNumberFormat="1" applyFont="1" applyFill="1" applyAlignment="1">
      <alignment horizontal="left" vertical="center"/>
    </xf>
    <xf numFmtId="49" fontId="15" fillId="24" borderId="0" xfId="0" applyNumberFormat="1" applyFont="1" applyFill="1" applyAlignment="1">
      <alignment vertical="center"/>
    </xf>
    <xf numFmtId="0" fontId="15" fillId="25" borderId="0" xfId="0" applyFont="1" applyFill="1" applyAlignment="1">
      <alignment vertical="center"/>
    </xf>
    <xf numFmtId="3" fontId="15" fillId="24" borderId="0" xfId="0" applyNumberFormat="1" applyFont="1" applyFill="1" applyAlignment="1">
      <alignment vertical="center"/>
    </xf>
    <xf numFmtId="0" fontId="2" fillId="0" borderId="19" xfId="35" applyFont="1" applyBorder="1" applyAlignment="1" applyProtection="1">
      <alignment wrapText="1"/>
      <protection locked="0"/>
    </xf>
    <xf numFmtId="0" fontId="2" fillId="0" borderId="32" xfId="35" applyFont="1" applyBorder="1" applyProtection="1">
      <protection locked="0"/>
    </xf>
    <xf numFmtId="0" fontId="17" fillId="57" borderId="0" xfId="0" applyFont="1" applyFill="1" applyBorder="1" applyAlignment="1">
      <alignment vertical="center"/>
    </xf>
    <xf numFmtId="0" fontId="17" fillId="57" borderId="0" xfId="0" applyFont="1" applyFill="1" applyAlignment="1">
      <alignment vertical="center"/>
    </xf>
    <xf numFmtId="0" fontId="17" fillId="57" borderId="0" xfId="0" applyFont="1" applyFill="1" applyAlignment="1" applyProtection="1">
      <alignment vertical="center"/>
      <protection locked="0"/>
    </xf>
    <xf numFmtId="0" fontId="15" fillId="57" borderId="0" xfId="0" applyFont="1" applyFill="1" applyBorder="1" applyAlignment="1">
      <alignment vertical="center"/>
    </xf>
    <xf numFmtId="0" fontId="15" fillId="57" borderId="0" xfId="0" applyFont="1" applyFill="1" applyAlignment="1">
      <alignment vertical="center"/>
    </xf>
    <xf numFmtId="0" fontId="10" fillId="0" borderId="0" xfId="0" applyFont="1" applyFill="1" applyAlignment="1" applyProtection="1">
      <alignment horizontal="left" vertical="center"/>
      <protection locked="0"/>
    </xf>
    <xf numFmtId="0" fontId="36" fillId="0" borderId="0" xfId="0" applyNumberFormat="1" applyFont="1" applyAlignment="1" applyProtection="1">
      <alignment horizontal="left"/>
      <protection locked="0"/>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1" fillId="68" borderId="0" xfId="0" applyFont="1" applyFill="1" applyAlignment="1" applyProtection="1">
      <alignment vertical="center"/>
      <protection locked="0"/>
    </xf>
    <xf numFmtId="0" fontId="2" fillId="0" borderId="19" xfId="35" applyFont="1" applyBorder="1" applyProtection="1">
      <protection locked="0"/>
    </xf>
    <xf numFmtId="0" fontId="115" fillId="0" borderId="0" xfId="45" applyFont="1"/>
    <xf numFmtId="0" fontId="5" fillId="0" borderId="0" xfId="45"/>
    <xf numFmtId="0" fontId="4" fillId="0" borderId="0" xfId="45" applyFont="1"/>
    <xf numFmtId="0" fontId="5" fillId="0" borderId="0" xfId="45" applyFont="1"/>
    <xf numFmtId="0" fontId="5" fillId="0" borderId="0" xfId="45" applyFont="1" applyAlignment="1">
      <alignment wrapText="1"/>
    </xf>
    <xf numFmtId="0" fontId="116" fillId="0" borderId="0" xfId="45" applyFont="1" applyProtection="1">
      <protection locked="0"/>
    </xf>
    <xf numFmtId="0" fontId="5" fillId="0" borderId="0" xfId="45" quotePrefix="1"/>
    <xf numFmtId="0" fontId="1" fillId="28" borderId="12" xfId="0" quotePrefix="1" applyFont="1" applyFill="1" applyBorder="1" applyAlignment="1" applyProtection="1">
      <alignment horizontal="left" vertical="center"/>
    </xf>
    <xf numFmtId="0" fontId="5" fillId="0" borderId="0" xfId="45" applyAlignment="1">
      <alignment wrapText="1"/>
    </xf>
    <xf numFmtId="0" fontId="2" fillId="0" borderId="0" xfId="0" applyFont="1" applyFill="1" applyAlignment="1" applyProtection="1">
      <alignment vertical="center"/>
      <protection locked="0"/>
    </xf>
    <xf numFmtId="0" fontId="5" fillId="0" borderId="0" xfId="45" applyFill="1"/>
    <xf numFmtId="0" fontId="5" fillId="0" borderId="0" xfId="45" applyFont="1" applyFill="1"/>
    <xf numFmtId="0" fontId="5" fillId="0" borderId="0" xfId="45" quotePrefix="1" applyFill="1"/>
    <xf numFmtId="0" fontId="1" fillId="0" borderId="0" xfId="35" applyFont="1"/>
    <xf numFmtId="0" fontId="1" fillId="0" borderId="0" xfId="36" applyFont="1" applyAlignment="1">
      <alignment vertical="top" wrapText="1"/>
    </xf>
    <xf numFmtId="1" fontId="15" fillId="53" borderId="15" xfId="35" applyNumberFormat="1" applyFont="1" applyFill="1" applyBorder="1" applyAlignment="1">
      <alignment horizontal="left" vertical="center"/>
    </xf>
    <xf numFmtId="0" fontId="15" fillId="53" borderId="15" xfId="35" applyFont="1" applyFill="1" applyBorder="1" applyAlignment="1">
      <alignment horizontal="left" vertical="center"/>
    </xf>
    <xf numFmtId="0" fontId="15" fillId="0" borderId="15" xfId="35" applyFont="1" applyBorder="1" applyAlignment="1">
      <alignment horizontal="left" vertical="center"/>
    </xf>
    <xf numFmtId="0" fontId="15" fillId="0" borderId="15" xfId="35" applyFont="1" applyFill="1" applyBorder="1" applyAlignment="1">
      <alignment horizontal="right" vertical="center"/>
    </xf>
    <xf numFmtId="14" fontId="15" fillId="53" borderId="14" xfId="35" applyNumberFormat="1" applyFont="1" applyFill="1" applyBorder="1" applyAlignment="1">
      <alignment horizontal="left" vertical="center"/>
    </xf>
    <xf numFmtId="0" fontId="15" fillId="53" borderId="14" xfId="35" applyFont="1" applyFill="1" applyBorder="1" applyAlignment="1">
      <alignment vertical="center"/>
    </xf>
    <xf numFmtId="0" fontId="15" fillId="0" borderId="14" xfId="35" applyFont="1" applyBorder="1" applyAlignment="1">
      <alignment vertical="center"/>
    </xf>
    <xf numFmtId="0" fontId="15" fillId="0" borderId="14" xfId="35" applyFont="1" applyBorder="1" applyAlignment="1">
      <alignment horizontal="left" vertical="center"/>
    </xf>
    <xf numFmtId="0" fontId="15" fillId="0" borderId="14" xfId="35" applyFont="1" applyFill="1" applyBorder="1" applyAlignment="1">
      <alignment horizontal="right" vertical="center"/>
    </xf>
    <xf numFmtId="0" fontId="91" fillId="0" borderId="15" xfId="35" applyFont="1" applyFill="1" applyBorder="1" applyAlignment="1">
      <alignment horizontal="left" vertical="center"/>
    </xf>
    <xf numFmtId="0" fontId="13" fillId="0" borderId="0" xfId="0" applyFont="1" applyFill="1"/>
    <xf numFmtId="0" fontId="11" fillId="0" borderId="0" xfId="0" applyFont="1" applyFill="1"/>
    <xf numFmtId="0" fontId="80" fillId="0" borderId="0" xfId="0" quotePrefix="1" applyFont="1" applyFill="1" applyAlignment="1">
      <alignment horizontal="left"/>
    </xf>
    <xf numFmtId="0" fontId="80" fillId="0" borderId="0" xfId="0" applyFont="1" applyFill="1" applyAlignment="1">
      <alignment horizontal="left"/>
    </xf>
    <xf numFmtId="0" fontId="13" fillId="0" borderId="0" xfId="0" applyFont="1" applyFill="1" applyAlignment="1">
      <alignment horizontal="left" vertical="top"/>
    </xf>
    <xf numFmtId="0" fontId="13" fillId="0" borderId="0" xfId="0" applyFont="1" applyFill="1" applyAlignment="1">
      <alignment horizontal="left" vertical="top" wrapText="1"/>
    </xf>
    <xf numFmtId="0" fontId="60" fillId="0" borderId="0" xfId="0" applyFont="1" applyFill="1"/>
    <xf numFmtId="0" fontId="13" fillId="0" borderId="0" xfId="0" applyFont="1" applyFill="1" applyAlignment="1"/>
    <xf numFmtId="166" fontId="13" fillId="0" borderId="0" xfId="0" applyNumberFormat="1" applyFont="1" applyFill="1" applyAlignment="1">
      <alignment horizontal="left" vertical="center"/>
    </xf>
    <xf numFmtId="0" fontId="13" fillId="0" borderId="0" xfId="0" applyFont="1" applyFill="1" applyAlignment="1">
      <alignment vertical="center"/>
    </xf>
    <xf numFmtId="0" fontId="82" fillId="0" borderId="0" xfId="0" applyFont="1" applyFill="1" applyAlignment="1" applyProtection="1">
      <alignment vertical="top"/>
      <protection locked="0"/>
    </xf>
    <xf numFmtId="0" fontId="82" fillId="0" borderId="0" xfId="0" applyFont="1" applyFill="1" applyAlignment="1" applyProtection="1">
      <protection locked="0"/>
    </xf>
    <xf numFmtId="0" fontId="60" fillId="0" borderId="0" xfId="0" applyFont="1" applyFill="1" applyAlignment="1"/>
    <xf numFmtId="0" fontId="82" fillId="0" borderId="0" xfId="0" applyFont="1" applyFill="1" applyAlignment="1"/>
    <xf numFmtId="0" fontId="0" fillId="0" borderId="0" xfId="0" applyFill="1" applyAlignment="1"/>
    <xf numFmtId="0" fontId="2" fillId="0" borderId="0" xfId="0" quotePrefix="1" applyFont="1" applyFill="1" applyAlignment="1">
      <alignment horizontal="right"/>
    </xf>
    <xf numFmtId="0" fontId="60" fillId="0" borderId="0" xfId="0" applyFont="1" applyFill="1" applyAlignment="1">
      <alignment vertical="top"/>
    </xf>
    <xf numFmtId="0" fontId="82" fillId="0" borderId="0" xfId="0" applyFont="1" applyFill="1" applyAlignment="1">
      <alignment vertical="top"/>
    </xf>
    <xf numFmtId="166" fontId="13" fillId="0" borderId="0" xfId="0" applyNumberFormat="1" applyFont="1" applyFill="1" applyAlignment="1" applyProtection="1">
      <protection locked="0"/>
    </xf>
    <xf numFmtId="166" fontId="13" fillId="0" borderId="0" xfId="0" applyNumberFormat="1" applyFont="1" applyFill="1" applyAlignment="1" applyProtection="1"/>
    <xf numFmtId="0" fontId="13" fillId="0" borderId="0" xfId="0" applyFont="1" applyFill="1" applyAlignment="1" applyProtection="1"/>
    <xf numFmtId="3" fontId="13" fillId="0" borderId="0" xfId="0" applyNumberFormat="1" applyFont="1" applyFill="1" applyAlignment="1" applyProtection="1">
      <alignment horizontal="left"/>
      <protection locked="0"/>
    </xf>
    <xf numFmtId="0" fontId="60" fillId="0" borderId="0" xfId="0" applyFont="1" applyFill="1" applyAlignment="1" applyProtection="1"/>
    <xf numFmtId="0" fontId="60" fillId="0" borderId="0" xfId="0" applyFont="1" applyFill="1" applyProtection="1"/>
    <xf numFmtId="0" fontId="60" fillId="0" borderId="0" xfId="0" applyFont="1" applyFill="1" applyAlignment="1">
      <alignment vertical="top" wrapText="1"/>
    </xf>
    <xf numFmtId="0" fontId="60" fillId="0" borderId="0" xfId="0" applyFont="1" applyFill="1" applyAlignment="1" applyProtection="1">
      <alignment vertical="top" wrapText="1"/>
    </xf>
    <xf numFmtId="0" fontId="82" fillId="0" borderId="0" xfId="0" applyFont="1" applyFill="1" applyAlignment="1" applyProtection="1">
      <alignment vertical="top"/>
    </xf>
    <xf numFmtId="0" fontId="60" fillId="0" borderId="0" xfId="0" applyFont="1" applyFill="1" applyAlignment="1">
      <alignment wrapText="1"/>
    </xf>
    <xf numFmtId="0" fontId="60" fillId="0" borderId="0" xfId="0" applyFont="1" applyFill="1" applyAlignment="1" applyProtection="1">
      <protection locked="0"/>
    </xf>
    <xf numFmtId="0" fontId="13" fillId="0" borderId="0" xfId="0" applyFont="1" applyFill="1" applyAlignment="1">
      <alignment horizontal="left"/>
    </xf>
    <xf numFmtId="1" fontId="13" fillId="0" borderId="0" xfId="0" applyNumberFormat="1" applyFont="1" applyFill="1" applyAlignment="1">
      <alignment horizontal="left"/>
    </xf>
    <xf numFmtId="166" fontId="13" fillId="0" borderId="0" xfId="0" applyNumberFormat="1" applyFont="1" applyFill="1" applyAlignment="1" applyProtection="1">
      <alignment horizontal="right"/>
      <protection locked="0"/>
    </xf>
    <xf numFmtId="0" fontId="82" fillId="0" borderId="0" xfId="0" applyFont="1" applyFill="1" applyAlignment="1" applyProtection="1"/>
    <xf numFmtId="0" fontId="26" fillId="0" borderId="0" xfId="0" applyFont="1" applyFill="1" applyProtection="1"/>
    <xf numFmtId="0" fontId="13" fillId="0" borderId="0" xfId="0" applyFont="1" applyFill="1" applyProtection="1"/>
    <xf numFmtId="0" fontId="0" fillId="0" borderId="0" xfId="0" applyFill="1" applyProtection="1">
      <protection locked="0"/>
    </xf>
    <xf numFmtId="0" fontId="11" fillId="0" borderId="0" xfId="0" applyFont="1" applyFill="1" applyProtection="1"/>
    <xf numFmtId="0" fontId="80" fillId="0" borderId="0" xfId="0" quotePrefix="1" applyFont="1" applyFill="1" applyAlignment="1" applyProtection="1">
      <alignment horizontal="left"/>
    </xf>
    <xf numFmtId="0" fontId="80" fillId="0" borderId="0" xfId="0" applyFont="1" applyFill="1" applyAlignment="1" applyProtection="1">
      <alignment horizontal="left"/>
    </xf>
    <xf numFmtId="0" fontId="60" fillId="0" borderId="0" xfId="0" applyFont="1" applyFill="1" applyAlignment="1" applyProtection="1">
      <alignment horizontal="justify" vertical="center"/>
    </xf>
    <xf numFmtId="0" fontId="60" fillId="0" borderId="0" xfId="0" applyFont="1" applyFill="1" applyAlignment="1" applyProtection="1">
      <alignment horizontal="justify" vertical="top" wrapText="1"/>
    </xf>
    <xf numFmtId="0" fontId="2" fillId="0" borderId="0" xfId="0" quotePrefix="1" applyFont="1" applyFill="1" applyAlignment="1" applyProtection="1">
      <alignment horizontal="right"/>
    </xf>
    <xf numFmtId="166" fontId="13" fillId="0" borderId="0" xfId="0" applyNumberFormat="1" applyFont="1" applyFill="1" applyAlignment="1" applyProtection="1">
      <alignment horizontal="left"/>
    </xf>
    <xf numFmtId="0" fontId="0" fillId="0" borderId="0" xfId="0" applyFill="1" applyAlignment="1" applyProtection="1"/>
    <xf numFmtId="0" fontId="83" fillId="0" borderId="10" xfId="0" applyFont="1" applyFill="1" applyBorder="1" applyAlignment="1" applyProtection="1">
      <alignment horizontal="justify" vertical="center"/>
    </xf>
    <xf numFmtId="166" fontId="60" fillId="0" borderId="10" xfId="0" applyNumberFormat="1" applyFont="1" applyFill="1" applyBorder="1" applyAlignment="1" applyProtection="1">
      <alignment horizontal="justify" vertical="center"/>
      <protection locked="0"/>
    </xf>
    <xf numFmtId="0" fontId="60" fillId="0" borderId="0" xfId="0" quotePrefix="1" applyFont="1" applyFill="1" applyAlignment="1" applyProtection="1">
      <alignment horizontal="right" vertical="center"/>
    </xf>
    <xf numFmtId="0" fontId="83" fillId="0" borderId="0" xfId="0" applyFont="1" applyFill="1" applyAlignment="1" applyProtection="1">
      <alignment vertical="top"/>
      <protection locked="0"/>
    </xf>
    <xf numFmtId="0" fontId="60" fillId="0" borderId="0" xfId="0" applyFont="1" applyFill="1" applyProtection="1">
      <protection locked="0"/>
    </xf>
    <xf numFmtId="0" fontId="60" fillId="0" borderId="0" xfId="0" applyFont="1" applyFill="1" applyAlignment="1" applyProtection="1">
      <alignment horizontal="left" vertical="top"/>
      <protection locked="0"/>
    </xf>
    <xf numFmtId="0" fontId="60" fillId="0" borderId="0" xfId="0" applyFont="1" applyFill="1" applyAlignment="1" applyProtection="1">
      <alignment wrapText="1"/>
    </xf>
    <xf numFmtId="0" fontId="0" fillId="0" borderId="0" xfId="0" applyFill="1" applyAlignment="1" applyProtection="1">
      <alignment vertical="top"/>
    </xf>
    <xf numFmtId="0" fontId="60" fillId="0" borderId="0" xfId="0" applyFont="1" applyFill="1" applyAlignment="1" applyProtection="1">
      <alignment horizontal="left" vertical="top" wrapText="1"/>
    </xf>
    <xf numFmtId="0" fontId="60" fillId="0" borderId="0" xfId="0" applyFont="1" applyFill="1" applyBorder="1" applyProtection="1"/>
    <xf numFmtId="0" fontId="0" fillId="0" borderId="0" xfId="0" applyFill="1" applyBorder="1" applyProtection="1"/>
    <xf numFmtId="0" fontId="60" fillId="0" borderId="0" xfId="0" applyFont="1" applyProtection="1"/>
    <xf numFmtId="0" fontId="83" fillId="0" borderId="10" xfId="0" applyFont="1" applyFill="1" applyBorder="1" applyAlignment="1" applyProtection="1">
      <alignment horizontal="left" vertical="center"/>
    </xf>
    <xf numFmtId="0" fontId="81" fillId="0" borderId="0" xfId="0" applyFont="1" applyAlignment="1" applyProtection="1">
      <alignment horizontal="left"/>
      <protection locked="0"/>
    </xf>
    <xf numFmtId="0" fontId="81" fillId="0" borderId="0" xfId="0" applyFont="1" applyAlignment="1">
      <alignment horizontal="left" vertical="top"/>
    </xf>
    <xf numFmtId="0" fontId="60" fillId="0" borderId="0" xfId="0" applyFont="1" applyFill="1" applyAlignment="1" applyProtection="1">
      <alignment horizontal="left"/>
      <protection locked="0"/>
    </xf>
    <xf numFmtId="0" fontId="60" fillId="0" borderId="0" xfId="0" applyFont="1" applyFill="1" applyAlignment="1">
      <alignment horizontal="left" vertical="top"/>
    </xf>
    <xf numFmtId="0" fontId="0" fillId="0" borderId="0" xfId="0" applyFill="1"/>
    <xf numFmtId="0" fontId="60" fillId="0" borderId="0" xfId="0" applyFont="1" applyAlignment="1">
      <alignment horizontal="left" vertical="top"/>
    </xf>
    <xf numFmtId="0" fontId="60" fillId="0" borderId="0" xfId="0" applyFont="1" applyAlignment="1" applyProtection="1">
      <protection locked="0"/>
    </xf>
    <xf numFmtId="0" fontId="0" fillId="0" borderId="0" xfId="0" applyAlignment="1">
      <alignment horizontal="justify" vertical="top" wrapText="1"/>
    </xf>
    <xf numFmtId="0" fontId="5" fillId="0" borderId="0" xfId="0" applyFont="1" applyAlignment="1">
      <alignment horizontal="justify" vertical="top" wrapText="1"/>
    </xf>
    <xf numFmtId="0" fontId="4" fillId="0" borderId="0" xfId="0" applyFont="1"/>
    <xf numFmtId="0" fontId="5" fillId="0" borderId="0" xfId="0" applyFont="1" applyAlignment="1" applyProtection="1">
      <protection locked="0"/>
    </xf>
    <xf numFmtId="0" fontId="5" fillId="0" borderId="0" xfId="0" applyFont="1" applyAlignment="1">
      <alignment vertical="top" wrapText="1"/>
    </xf>
    <xf numFmtId="14" fontId="5" fillId="0" borderId="0" xfId="0" applyNumberFormat="1" applyFont="1" applyAlignment="1">
      <alignment horizontal="left"/>
    </xf>
    <xf numFmtId="14" fontId="5" fillId="0" borderId="0" xfId="0" applyNumberFormat="1" applyFont="1" applyAlignment="1"/>
    <xf numFmtId="0" fontId="5" fillId="0" borderId="0" xfId="0" applyFont="1" applyAlignment="1">
      <alignment horizontal="right"/>
    </xf>
    <xf numFmtId="0" fontId="5" fillId="0" borderId="0" xfId="0" applyFont="1" applyAlignment="1">
      <alignment horizontal="right" vertical="top" wrapText="1"/>
    </xf>
    <xf numFmtId="0" fontId="5" fillId="0" borderId="0" xfId="0" applyFont="1" applyAlignment="1">
      <alignment horizontal="center"/>
    </xf>
    <xf numFmtId="14" fontId="10" fillId="0" borderId="0" xfId="0" applyNumberFormat="1" applyFont="1" applyAlignment="1">
      <alignment horizontal="right"/>
    </xf>
    <xf numFmtId="14" fontId="10" fillId="0" borderId="0" xfId="0" applyNumberFormat="1" applyFont="1" applyFill="1" applyAlignment="1">
      <alignment horizontal="right"/>
    </xf>
    <xf numFmtId="14" fontId="91" fillId="0" borderId="13" xfId="0" applyNumberFormat="1" applyFont="1" applyBorder="1" applyAlignment="1">
      <alignment vertical="center"/>
    </xf>
    <xf numFmtId="14" fontId="17" fillId="0" borderId="13" xfId="0" applyNumberFormat="1" applyFont="1" applyBorder="1" applyAlignment="1">
      <alignment vertical="center"/>
    </xf>
    <xf numFmtId="14" fontId="17" fillId="0" borderId="0" xfId="0" applyNumberFormat="1" applyFont="1" applyFill="1" applyAlignment="1">
      <alignment vertical="center"/>
    </xf>
    <xf numFmtId="14" fontId="91" fillId="64" borderId="13" xfId="0" applyNumberFormat="1" applyFont="1" applyFill="1" applyBorder="1" applyAlignment="1">
      <alignment vertical="center"/>
    </xf>
    <xf numFmtId="0" fontId="0" fillId="0" borderId="0" xfId="0" applyFill="1"/>
    <xf numFmtId="167" fontId="0" fillId="0" borderId="0" xfId="0" applyNumberFormat="1" applyAlignment="1">
      <alignment horizontal="left" vertical="center"/>
    </xf>
    <xf numFmtId="1" fontId="0" fillId="69" borderId="0" xfId="0" applyNumberFormat="1" applyFill="1" applyAlignment="1">
      <alignment horizontal="center"/>
    </xf>
    <xf numFmtId="0" fontId="0" fillId="70" borderId="0" xfId="0" applyFill="1" applyBorder="1" applyAlignment="1"/>
    <xf numFmtId="0" fontId="0" fillId="70" borderId="0" xfId="0" applyFill="1" applyAlignment="1"/>
    <xf numFmtId="0" fontId="1" fillId="40" borderId="18" xfId="0" applyFont="1" applyFill="1" applyBorder="1"/>
    <xf numFmtId="0" fontId="3" fillId="30" borderId="35" xfId="0" applyFont="1" applyFill="1" applyBorder="1" applyAlignment="1" applyProtection="1">
      <alignment horizontal="center" vertical="center"/>
    </xf>
    <xf numFmtId="0" fontId="81" fillId="0" borderId="0" xfId="0" applyFont="1" applyAlignment="1" applyProtection="1">
      <alignment horizontal="left" vertical="center"/>
    </xf>
    <xf numFmtId="0" fontId="81" fillId="0" borderId="0" xfId="0" applyFont="1" applyAlignment="1" applyProtection="1">
      <alignment horizontal="left" wrapText="1"/>
    </xf>
    <xf numFmtId="0" fontId="60" fillId="0" borderId="0" xfId="0" applyFont="1" applyFill="1" applyAlignment="1" applyProtection="1">
      <alignment horizontal="left" vertical="center"/>
    </xf>
    <xf numFmtId="0" fontId="60" fillId="0" borderId="0" xfId="0" applyFont="1" applyFill="1" applyAlignment="1" applyProtection="1">
      <alignment horizontal="left" wrapText="1"/>
    </xf>
    <xf numFmtId="0" fontId="60" fillId="0" borderId="0" xfId="0" applyFont="1" applyAlignment="1" applyProtection="1">
      <alignment horizontal="left" vertical="center"/>
    </xf>
    <xf numFmtId="9" fontId="13" fillId="0" borderId="0" xfId="46" applyFont="1" applyFill="1" applyAlignment="1" applyProtection="1">
      <alignment horizontal="left" wrapText="1"/>
    </xf>
    <xf numFmtId="9" fontId="13" fillId="0" borderId="0" xfId="46" applyFont="1" applyAlignment="1" applyProtection="1">
      <alignment horizontal="left" wrapText="1"/>
    </xf>
    <xf numFmtId="9" fontId="13" fillId="0" borderId="0" xfId="46" applyFont="1" applyAlignment="1">
      <alignment horizontal="left"/>
    </xf>
    <xf numFmtId="0" fontId="0" fillId="0" borderId="0" xfId="0" applyAlignment="1">
      <alignment horizontal="justify" vertical="top" wrapText="1"/>
    </xf>
    <xf numFmtId="9" fontId="81" fillId="0" borderId="0" xfId="46" applyFont="1" applyAlignment="1">
      <alignment horizontal="left"/>
    </xf>
    <xf numFmtId="9" fontId="13" fillId="0" borderId="0" xfId="46" applyFont="1" applyFill="1" applyAlignment="1">
      <alignment horizontal="left"/>
    </xf>
    <xf numFmtId="0" fontId="10" fillId="0" borderId="0" xfId="0" applyFont="1" applyAlignment="1">
      <alignment horizontal="left" wrapText="1"/>
    </xf>
    <xf numFmtId="2" fontId="5" fillId="0" borderId="0" xfId="0" applyNumberFormat="1" applyFont="1" applyAlignment="1" applyProtection="1">
      <protection locked="0"/>
    </xf>
    <xf numFmtId="0" fontId="1" fillId="0" borderId="0" xfId="48"/>
    <xf numFmtId="0" fontId="5" fillId="0" borderId="0" xfId="48" applyFont="1"/>
    <xf numFmtId="0" fontId="1" fillId="0" borderId="0" xfId="48" applyBorder="1"/>
    <xf numFmtId="0" fontId="2" fillId="0" borderId="0" xfId="48" applyFont="1"/>
    <xf numFmtId="0" fontId="3" fillId="0" borderId="0" xfId="48" applyFont="1" applyAlignment="1">
      <alignment horizontal="right"/>
    </xf>
    <xf numFmtId="4" fontId="3" fillId="0" borderId="0" xfId="48" applyNumberFormat="1" applyFont="1"/>
    <xf numFmtId="0" fontId="13" fillId="0" borderId="29" xfId="48" applyFont="1" applyFill="1" applyBorder="1"/>
    <xf numFmtId="0" fontId="13" fillId="0" borderId="14" xfId="48" applyFont="1" applyBorder="1"/>
    <xf numFmtId="0" fontId="60" fillId="0" borderId="14" xfId="48" applyFont="1" applyBorder="1"/>
    <xf numFmtId="14" fontId="60" fillId="0" borderId="30" xfId="48" applyNumberFormat="1" applyFont="1" applyBorder="1"/>
    <xf numFmtId="0" fontId="60" fillId="0" borderId="19" xfId="49" applyFont="1" applyBorder="1"/>
    <xf numFmtId="0" fontId="60" fillId="0" borderId="0" xfId="49" applyFont="1" applyBorder="1"/>
    <xf numFmtId="14" fontId="60" fillId="0" borderId="0" xfId="48" applyNumberFormat="1" applyFont="1" applyBorder="1"/>
    <xf numFmtId="0" fontId="60" fillId="0" borderId="31" xfId="48" quotePrefix="1" applyNumberFormat="1" applyFont="1" applyBorder="1" applyAlignment="1">
      <alignment horizontal="right"/>
    </xf>
    <xf numFmtId="0" fontId="60" fillId="0" borderId="0" xfId="48" applyFont="1" applyBorder="1" applyAlignment="1" applyProtection="1">
      <alignment horizontal="left"/>
      <protection locked="0"/>
    </xf>
    <xf numFmtId="0" fontId="60" fillId="0" borderId="0" xfId="48" applyFont="1" applyBorder="1" applyAlignment="1">
      <alignment horizontal="right"/>
    </xf>
    <xf numFmtId="0" fontId="60" fillId="0" borderId="31" xfId="48" applyFont="1" applyBorder="1" applyAlignment="1">
      <alignment horizontal="right"/>
    </xf>
    <xf numFmtId="4" fontId="60" fillId="0" borderId="0" xfId="48" applyNumberFormat="1" applyFont="1" applyBorder="1"/>
    <xf numFmtId="4" fontId="60" fillId="0" borderId="31" xfId="48" quotePrefix="1" applyNumberFormat="1" applyFont="1" applyBorder="1" applyAlignment="1">
      <alignment horizontal="right"/>
    </xf>
    <xf numFmtId="0" fontId="60" fillId="0" borderId="32" xfId="49" applyFont="1" applyFill="1" applyBorder="1"/>
    <xf numFmtId="0" fontId="123" fillId="0" borderId="15" xfId="49" applyFont="1" applyBorder="1" applyAlignment="1">
      <alignment horizontal="center"/>
    </xf>
    <xf numFmtId="165" fontId="60" fillId="0" borderId="15" xfId="50" quotePrefix="1" applyNumberFormat="1" applyFont="1" applyBorder="1"/>
    <xf numFmtId="165" fontId="60" fillId="0" borderId="33" xfId="48" quotePrefix="1" applyNumberFormat="1" applyFont="1" applyBorder="1" applyAlignment="1">
      <alignment horizontal="right"/>
    </xf>
    <xf numFmtId="0" fontId="60" fillId="0" borderId="29" xfId="48" quotePrefix="1" applyFont="1" applyBorder="1"/>
    <xf numFmtId="0" fontId="60" fillId="0" borderId="14" xfId="49" applyFont="1" applyBorder="1"/>
    <xf numFmtId="0" fontId="60" fillId="0" borderId="30" xfId="48" applyFont="1" applyBorder="1"/>
    <xf numFmtId="4" fontId="60" fillId="0" borderId="16" xfId="48" quotePrefix="1" applyNumberFormat="1" applyFont="1" applyBorder="1"/>
    <xf numFmtId="0" fontId="60" fillId="0" borderId="19" xfId="48" quotePrefix="1" applyFont="1" applyBorder="1"/>
    <xf numFmtId="0" fontId="60" fillId="0" borderId="31" xfId="48" applyFont="1" applyBorder="1"/>
    <xf numFmtId="4" fontId="60" fillId="0" borderId="27" xfId="48" quotePrefix="1" applyNumberFormat="1" applyFont="1" applyBorder="1"/>
    <xf numFmtId="0" fontId="60" fillId="0" borderId="31" xfId="48" quotePrefix="1" applyFont="1" applyBorder="1" applyAlignment="1">
      <alignment horizontal="right"/>
    </xf>
    <xf numFmtId="4" fontId="60" fillId="0" borderId="17" xfId="48" quotePrefix="1" applyNumberFormat="1" applyFont="1" applyBorder="1"/>
    <xf numFmtId="0" fontId="1" fillId="0" borderId="19" xfId="48" applyBorder="1"/>
    <xf numFmtId="4" fontId="13" fillId="0" borderId="16" xfId="48" applyNumberFormat="1" applyFont="1" applyBorder="1"/>
    <xf numFmtId="0" fontId="3" fillId="0" borderId="0" xfId="48" applyFont="1" applyFill="1" applyBorder="1"/>
    <xf numFmtId="0" fontId="1" fillId="0" borderId="0" xfId="48" applyFill="1" applyBorder="1"/>
    <xf numFmtId="0" fontId="1" fillId="0" borderId="0" xfId="48" quotePrefix="1" applyFill="1" applyBorder="1"/>
    <xf numFmtId="0" fontId="60" fillId="0" borderId="0" xfId="48" applyFont="1" applyBorder="1"/>
    <xf numFmtId="0" fontId="6" fillId="0" borderId="0" xfId="48" applyFont="1"/>
    <xf numFmtId="0" fontId="124" fillId="0" borderId="0" xfId="48" applyFont="1"/>
    <xf numFmtId="0" fontId="114" fillId="0" borderId="0" xfId="48" applyFont="1" applyAlignment="1">
      <alignment horizontal="right"/>
    </xf>
    <xf numFmtId="0" fontId="1" fillId="0" borderId="0" xfId="48" applyAlignment="1" applyProtection="1">
      <alignment horizontal="right"/>
      <protection locked="0"/>
    </xf>
    <xf numFmtId="175" fontId="114" fillId="0" borderId="0" xfId="47" applyNumberFormat="1" applyFont="1" applyProtection="1">
      <protection locked="0"/>
    </xf>
    <xf numFmtId="4" fontId="17" fillId="0" borderId="0" xfId="0" applyNumberFormat="1" applyFont="1" applyBorder="1"/>
    <xf numFmtId="0" fontId="13" fillId="0" borderId="0" xfId="48" applyFont="1" applyBorder="1"/>
    <xf numFmtId="0" fontId="3" fillId="0" borderId="0" xfId="48" applyFont="1" applyBorder="1" applyAlignment="1">
      <alignment horizontal="right"/>
    </xf>
    <xf numFmtId="0" fontId="60" fillId="0" borderId="32" xfId="48" quotePrefix="1" applyFont="1" applyBorder="1"/>
    <xf numFmtId="0" fontId="60" fillId="0" borderId="15" xfId="49" applyFont="1" applyBorder="1"/>
    <xf numFmtId="0" fontId="60" fillId="0" borderId="15" xfId="48" applyFont="1" applyBorder="1" applyAlignment="1">
      <alignment horizontal="right"/>
    </xf>
    <xf numFmtId="0" fontId="1" fillId="0" borderId="0" xfId="0" applyNumberFormat="1" applyFont="1" applyAlignment="1">
      <alignment horizontal="left" vertical="center"/>
    </xf>
    <xf numFmtId="0" fontId="81" fillId="0" borderId="0" xfId="0" applyFont="1" applyAlignment="1" applyProtection="1">
      <alignment horizontal="left"/>
      <protection locked="0"/>
    </xf>
    <xf numFmtId="0" fontId="81" fillId="0" borderId="0" xfId="0" applyFont="1" applyAlignment="1">
      <alignment horizontal="justify" vertical="top" wrapText="1"/>
    </xf>
    <xf numFmtId="0" fontId="82" fillId="0" borderId="0" xfId="0" applyFont="1" applyAlignment="1" applyProtection="1">
      <alignment horizontal="left"/>
      <protection locked="0"/>
    </xf>
    <xf numFmtId="0" fontId="81" fillId="0" borderId="0" xfId="0" applyFont="1" applyAlignment="1" applyProtection="1">
      <alignment horizontal="right" vertical="center"/>
    </xf>
    <xf numFmtId="0" fontId="2" fillId="0" borderId="0" xfId="0" quotePrefix="1" applyFont="1" applyAlignment="1" applyProtection="1">
      <alignment horizontal="right"/>
      <protection locked="0"/>
    </xf>
    <xf numFmtId="0" fontId="125" fillId="0" borderId="0" xfId="0" applyFont="1" applyAlignment="1" applyProtection="1">
      <alignment vertical="top"/>
      <protection locked="0"/>
    </xf>
    <xf numFmtId="3" fontId="13" fillId="0" borderId="0" xfId="0" applyNumberFormat="1" applyFont="1" applyFill="1" applyAlignment="1">
      <alignment horizontal="center" vertical="center"/>
    </xf>
    <xf numFmtId="0" fontId="0" fillId="0" borderId="0" xfId="0" applyFill="1"/>
    <xf numFmtId="2" fontId="0" fillId="0" borderId="0" xfId="0" applyNumberFormat="1" applyAlignment="1">
      <alignment vertical="center"/>
    </xf>
    <xf numFmtId="0" fontId="81" fillId="0" borderId="0" xfId="0" applyFont="1" applyAlignment="1">
      <alignment horizontal="left" vertical="top" wrapText="1"/>
    </xf>
    <xf numFmtId="0" fontId="60" fillId="0" borderId="0" xfId="0" applyFont="1" applyAlignment="1">
      <alignment horizontal="left" vertical="top" wrapText="1"/>
    </xf>
    <xf numFmtId="0" fontId="0" fillId="0" borderId="0" xfId="0" applyFill="1"/>
    <xf numFmtId="0" fontId="60" fillId="0" borderId="0" xfId="0" applyFont="1" applyAlignment="1" applyProtection="1">
      <alignment horizontal="left"/>
      <protection locked="0"/>
    </xf>
    <xf numFmtId="3" fontId="1" fillId="0" borderId="0" xfId="0" applyNumberFormat="1" applyFont="1" applyFill="1" applyAlignment="1">
      <alignment horizontal="right" vertical="center"/>
    </xf>
    <xf numFmtId="3" fontId="3" fillId="0" borderId="0" xfId="0" applyNumberFormat="1" applyFont="1" applyFill="1" applyAlignment="1">
      <alignment horizontal="left" vertical="center"/>
    </xf>
    <xf numFmtId="4" fontId="1" fillId="0" borderId="0" xfId="0" applyNumberFormat="1" applyFont="1" applyFill="1" applyAlignment="1">
      <alignment vertical="center"/>
    </xf>
    <xf numFmtId="4" fontId="1" fillId="0" borderId="0" xfId="0" applyNumberFormat="1" applyFont="1" applyFill="1" applyAlignment="1">
      <alignment horizontal="right" vertical="center"/>
    </xf>
    <xf numFmtId="4" fontId="3" fillId="0" borderId="0" xfId="0" applyNumberFormat="1" applyFont="1" applyFill="1" applyAlignment="1">
      <alignment horizontal="right" vertical="center"/>
    </xf>
    <xf numFmtId="10" fontId="10" fillId="0" borderId="0" xfId="46" applyNumberFormat="1" applyFont="1" applyFill="1" applyAlignment="1">
      <alignment vertical="center"/>
    </xf>
    <xf numFmtId="3" fontId="1" fillId="0" borderId="0" xfId="0" applyNumberFormat="1" applyFont="1" applyFill="1" applyAlignment="1">
      <alignment vertical="center"/>
    </xf>
    <xf numFmtId="4" fontId="10" fillId="0" borderId="0" xfId="0" applyNumberFormat="1" applyFont="1" applyFill="1" applyBorder="1" applyAlignment="1">
      <alignment horizontal="center" vertical="center"/>
    </xf>
    <xf numFmtId="4" fontId="1" fillId="0" borderId="14" xfId="0" applyNumberFormat="1" applyFont="1" applyFill="1" applyBorder="1" applyAlignment="1">
      <alignment vertical="center"/>
    </xf>
    <xf numFmtId="4" fontId="1" fillId="0" borderId="30" xfId="0" applyNumberFormat="1" applyFont="1" applyFill="1" applyBorder="1" applyAlignment="1">
      <alignment vertical="center"/>
    </xf>
    <xf numFmtId="165" fontId="10" fillId="0" borderId="0" xfId="46" applyNumberFormat="1" applyFont="1" applyFill="1" applyAlignment="1">
      <alignment horizontal="right" vertical="center"/>
    </xf>
    <xf numFmtId="0" fontId="1" fillId="0" borderId="12" xfId="0" applyFont="1" applyBorder="1" applyAlignment="1" applyProtection="1">
      <alignment vertical="center"/>
    </xf>
    <xf numFmtId="10" fontId="1" fillId="0" borderId="12" xfId="0" applyNumberFormat="1" applyFont="1" applyBorder="1" applyAlignment="1" applyProtection="1">
      <alignment vertical="center"/>
    </xf>
    <xf numFmtId="0" fontId="1" fillId="0" borderId="0" xfId="0" applyFont="1" applyFill="1" applyAlignment="1">
      <alignment vertical="center"/>
    </xf>
    <xf numFmtId="43" fontId="10" fillId="0" borderId="0" xfId="47" applyFont="1" applyFill="1" applyAlignment="1">
      <alignment vertical="center"/>
    </xf>
    <xf numFmtId="14" fontId="17" fillId="0" borderId="0" xfId="0" applyNumberFormat="1" applyFont="1" applyAlignment="1">
      <alignment horizontal="right"/>
    </xf>
    <xf numFmtId="43" fontId="10" fillId="0" borderId="0" xfId="0" applyNumberFormat="1" applyFont="1" applyFill="1" applyAlignment="1">
      <alignment vertical="center"/>
    </xf>
    <xf numFmtId="4" fontId="1" fillId="56" borderId="10" xfId="0" applyNumberFormat="1" applyFont="1" applyFill="1" applyBorder="1" applyAlignment="1">
      <alignment horizontal="right" vertical="center"/>
    </xf>
    <xf numFmtId="4" fontId="1" fillId="56" borderId="17" xfId="0" applyNumberFormat="1" applyFont="1" applyFill="1" applyBorder="1" applyAlignment="1">
      <alignment horizontal="right" vertical="center"/>
    </xf>
    <xf numFmtId="0" fontId="93" fillId="0" borderId="45" xfId="0" applyFont="1" applyFill="1" applyBorder="1" applyAlignment="1">
      <alignment horizontal="center" vertical="center"/>
    </xf>
    <xf numFmtId="0" fontId="93" fillId="0" borderId="46" xfId="0" applyFont="1" applyFill="1" applyBorder="1" applyAlignment="1">
      <alignment horizontal="center" vertical="center"/>
    </xf>
    <xf numFmtId="0" fontId="93" fillId="0" borderId="47" xfId="0" applyFont="1" applyFill="1" applyBorder="1" applyAlignment="1">
      <alignment horizontal="center" vertical="center"/>
    </xf>
    <xf numFmtId="0" fontId="60" fillId="68" borderId="0" xfId="0" applyFont="1" applyFill="1" applyAlignment="1" applyProtection="1">
      <alignment horizontal="left" vertical="center" wrapText="1"/>
      <protection locked="0"/>
    </xf>
    <xf numFmtId="0" fontId="60" fillId="28" borderId="0" xfId="0" applyFont="1" applyFill="1" applyAlignment="1" applyProtection="1">
      <alignment horizontal="left" vertical="center" wrapText="1"/>
    </xf>
    <xf numFmtId="167" fontId="10" fillId="55" borderId="12" xfId="0" applyNumberFormat="1" applyFont="1" applyFill="1" applyBorder="1" applyAlignment="1" applyProtection="1">
      <alignment horizontal="left" vertical="center"/>
      <protection locked="0"/>
    </xf>
    <xf numFmtId="0" fontId="1" fillId="55" borderId="12" xfId="0" applyFont="1" applyFill="1" applyBorder="1" applyAlignment="1" applyProtection="1">
      <alignment horizontal="left" vertical="center"/>
      <protection locked="0"/>
    </xf>
    <xf numFmtId="0" fontId="10" fillId="55" borderId="12" xfId="0" applyFont="1" applyFill="1" applyBorder="1" applyAlignment="1" applyProtection="1">
      <alignment horizontal="left" vertical="center"/>
      <protection locked="0"/>
    </xf>
    <xf numFmtId="0" fontId="1" fillId="55" borderId="15" xfId="0" applyNumberFormat="1" applyFont="1" applyFill="1" applyBorder="1" applyAlignment="1" applyProtection="1">
      <alignment horizontal="left" vertical="center"/>
      <protection locked="0"/>
    </xf>
    <xf numFmtId="0" fontId="10" fillId="55" borderId="15" xfId="0" applyNumberFormat="1" applyFont="1" applyFill="1" applyBorder="1" applyAlignment="1" applyProtection="1">
      <alignment horizontal="left" vertical="center"/>
      <protection locked="0"/>
    </xf>
    <xf numFmtId="0" fontId="1" fillId="55" borderId="12" xfId="0" applyNumberFormat="1" applyFont="1" applyFill="1" applyBorder="1" applyAlignment="1" applyProtection="1">
      <alignment horizontal="left" vertical="center"/>
      <protection locked="0"/>
    </xf>
    <xf numFmtId="0" fontId="10" fillId="55" borderId="12" xfId="0" applyNumberFormat="1" applyFont="1" applyFill="1" applyBorder="1" applyAlignment="1" applyProtection="1">
      <alignment horizontal="left" vertical="center"/>
      <protection locked="0"/>
    </xf>
    <xf numFmtId="0" fontId="103" fillId="0" borderId="0" xfId="0" applyFont="1" applyFill="1" applyBorder="1" applyAlignment="1" applyProtection="1">
      <alignment horizontal="left" vertical="center" wrapText="1"/>
    </xf>
    <xf numFmtId="0" fontId="33" fillId="0" borderId="0" xfId="0" applyNumberFormat="1" applyFont="1" applyAlignment="1">
      <alignment horizontal="center"/>
    </xf>
    <xf numFmtId="4" fontId="68" fillId="0" borderId="15" xfId="0" applyNumberFormat="1" applyFont="1" applyBorder="1" applyAlignment="1">
      <alignment horizontal="center" vertical="center"/>
    </xf>
    <xf numFmtId="0" fontId="15" fillId="53" borderId="15" xfId="35" applyFont="1" applyFill="1" applyBorder="1" applyAlignment="1">
      <alignment horizontal="left" vertical="center"/>
    </xf>
    <xf numFmtId="0" fontId="16" fillId="0" borderId="0" xfId="0" applyNumberFormat="1" applyFont="1" applyAlignment="1">
      <alignment horizontal="center" wrapText="1"/>
    </xf>
    <xf numFmtId="0" fontId="16" fillId="0" borderId="0" xfId="0" applyNumberFormat="1" applyFont="1" applyAlignment="1">
      <alignment horizontal="center"/>
    </xf>
    <xf numFmtId="0" fontId="16" fillId="0" borderId="0" xfId="0" applyFont="1" applyAlignment="1">
      <alignment horizontal="left" wrapText="1"/>
    </xf>
    <xf numFmtId="49" fontId="60" fillId="0" borderId="0" xfId="0" applyNumberFormat="1" applyFont="1" applyBorder="1" applyAlignment="1">
      <alignment horizontal="center" wrapText="1"/>
    </xf>
    <xf numFmtId="0" fontId="3" fillId="0" borderId="0" xfId="0" quotePrefix="1" applyFont="1" applyAlignment="1">
      <alignment horizontal="right"/>
    </xf>
    <xf numFmtId="0" fontId="3" fillId="0" borderId="0" xfId="0" applyFont="1" applyAlignment="1">
      <alignment horizontal="right"/>
    </xf>
    <xf numFmtId="0" fontId="17" fillId="53" borderId="15" xfId="35" applyFont="1" applyFill="1" applyBorder="1" applyAlignment="1">
      <alignment horizontal="left" vertical="center"/>
    </xf>
    <xf numFmtId="0" fontId="10" fillId="0" borderId="0" xfId="0" applyFont="1" applyAlignment="1">
      <alignment horizontal="left" wrapText="1"/>
    </xf>
    <xf numFmtId="10" fontId="10" fillId="0" borderId="11" xfId="35" applyNumberFormat="1" applyFont="1" applyBorder="1" applyAlignment="1">
      <alignment horizontal="center" vertical="center" wrapText="1"/>
    </xf>
    <xf numFmtId="0" fontId="9" fillId="0" borderId="13" xfId="35" applyBorder="1" applyAlignment="1">
      <alignment horizontal="center"/>
    </xf>
    <xf numFmtId="0" fontId="1" fillId="0" borderId="0" xfId="35" applyFont="1" applyAlignment="1">
      <alignment horizontal="left" vertical="top" wrapText="1"/>
    </xf>
    <xf numFmtId="0" fontId="10" fillId="0" borderId="0" xfId="35" applyFont="1" applyAlignment="1">
      <alignment horizontal="left" vertical="top" wrapText="1"/>
    </xf>
    <xf numFmtId="0" fontId="10" fillId="0" borderId="0" xfId="35" applyFont="1" applyAlignment="1">
      <alignment wrapText="1"/>
    </xf>
    <xf numFmtId="0" fontId="1" fillId="0" borderId="0" xfId="35" applyFont="1" applyAlignment="1">
      <alignment wrapText="1"/>
    </xf>
    <xf numFmtId="0" fontId="10" fillId="0" borderId="0" xfId="35" applyFont="1" applyAlignment="1"/>
    <xf numFmtId="0" fontId="10" fillId="0" borderId="0" xfId="35" applyFont="1" applyAlignment="1">
      <alignment horizontal="left" wrapText="1"/>
    </xf>
    <xf numFmtId="0" fontId="9" fillId="0" borderId="13" xfId="35" applyBorder="1" applyAlignment="1">
      <alignment horizontal="center" vertical="center" wrapText="1"/>
    </xf>
    <xf numFmtId="0" fontId="3" fillId="0" borderId="0" xfId="35" applyFont="1" applyFill="1" applyAlignment="1">
      <alignment horizontal="right" vertical="center"/>
    </xf>
    <xf numFmtId="0" fontId="9" fillId="0" borderId="0" xfId="35" applyAlignment="1">
      <alignment wrapText="1"/>
    </xf>
    <xf numFmtId="0" fontId="1" fillId="0" borderId="29" xfId="35" applyFont="1" applyBorder="1" applyAlignment="1">
      <alignment horizontal="center" vertical="center" wrapText="1"/>
    </xf>
    <xf numFmtId="0" fontId="10" fillId="0" borderId="30" xfId="35" applyFont="1" applyBorder="1" applyAlignment="1">
      <alignment horizontal="center" vertical="center" wrapText="1"/>
    </xf>
    <xf numFmtId="0" fontId="10" fillId="0" borderId="29" xfId="35" applyFont="1" applyBorder="1" applyAlignment="1">
      <alignment horizontal="center" vertical="top" wrapText="1"/>
    </xf>
    <xf numFmtId="0" fontId="10" fillId="0" borderId="30" xfId="35" applyFont="1" applyBorder="1" applyAlignment="1">
      <alignment horizontal="center" vertical="top" wrapText="1"/>
    </xf>
    <xf numFmtId="0" fontId="10" fillId="0" borderId="0" xfId="35" applyFont="1" applyAlignment="1">
      <alignment vertical="top" wrapText="1"/>
    </xf>
    <xf numFmtId="0" fontId="1" fillId="0" borderId="0" xfId="35" applyFont="1" applyAlignment="1">
      <alignment vertical="top" wrapText="1"/>
    </xf>
    <xf numFmtId="0" fontId="69" fillId="0" borderId="14" xfId="35" applyFont="1" applyBorder="1" applyAlignment="1">
      <alignment horizontal="center"/>
    </xf>
    <xf numFmtId="0" fontId="10" fillId="0" borderId="14" xfId="35" applyFont="1" applyBorder="1" applyAlignment="1">
      <alignment horizontal="center" vertical="center" wrapText="1"/>
    </xf>
    <xf numFmtId="0" fontId="10" fillId="0" borderId="29" xfId="35" applyFont="1" applyBorder="1" applyAlignment="1">
      <alignment horizontal="center" vertical="center" wrapText="1"/>
    </xf>
    <xf numFmtId="0" fontId="33" fillId="0" borderId="0" xfId="34" applyNumberFormat="1" applyFont="1" applyAlignment="1">
      <alignment horizontal="center"/>
    </xf>
    <xf numFmtId="4" fontId="68" fillId="0" borderId="15" xfId="34" applyNumberFormat="1" applyFont="1" applyBorder="1" applyAlignment="1">
      <alignment horizontal="center" vertical="center"/>
    </xf>
    <xf numFmtId="0" fontId="105" fillId="53" borderId="15" xfId="36" applyFont="1" applyFill="1" applyBorder="1" applyAlignment="1">
      <alignment horizontal="left" vertical="center"/>
    </xf>
    <xf numFmtId="0" fontId="60" fillId="0" borderId="0" xfId="0" applyFont="1" applyAlignment="1" applyProtection="1">
      <alignment horizontal="left"/>
      <protection locked="0"/>
    </xf>
    <xf numFmtId="0" fontId="82" fillId="0" borderId="0" xfId="0" applyFont="1" applyAlignment="1" applyProtection="1">
      <alignment horizontal="left"/>
      <protection locked="0"/>
    </xf>
    <xf numFmtId="0" fontId="126" fillId="0" borderId="0" xfId="0" applyFont="1" applyAlignment="1" applyProtection="1">
      <alignment horizontal="left" vertical="top" wrapText="1"/>
      <protection locked="0"/>
    </xf>
    <xf numFmtId="0" fontId="91" fillId="0" borderId="0" xfId="0" applyFont="1" applyAlignment="1" applyProtection="1">
      <alignment horizontal="left" vertical="top" wrapText="1"/>
      <protection locked="0"/>
    </xf>
    <xf numFmtId="0" fontId="87" fillId="0" borderId="0" xfId="0" applyFont="1" applyAlignment="1">
      <alignment horizontal="left"/>
    </xf>
    <xf numFmtId="0" fontId="0" fillId="0" borderId="0" xfId="0" applyAlignment="1">
      <alignment horizontal="justify" vertical="top" wrapText="1"/>
    </xf>
    <xf numFmtId="0" fontId="81" fillId="0" borderId="48" xfId="0" applyFont="1" applyBorder="1" applyAlignment="1">
      <alignment horizontal="justify" vertical="top" wrapText="1"/>
    </xf>
    <xf numFmtId="0" fontId="81" fillId="0" borderId="0" xfId="0" applyFont="1" applyBorder="1" applyAlignment="1">
      <alignment horizontal="justify" vertical="top" wrapText="1"/>
    </xf>
    <xf numFmtId="0" fontId="81" fillId="0" borderId="0" xfId="0" applyFont="1" applyAlignment="1">
      <alignment horizontal="left" vertical="top" wrapText="1"/>
    </xf>
    <xf numFmtId="0" fontId="81" fillId="0" borderId="0" xfId="0" applyFont="1" applyAlignment="1" applyProtection="1">
      <alignment horizontal="left"/>
      <protection locked="0"/>
    </xf>
    <xf numFmtId="0" fontId="60" fillId="0" borderId="0" xfId="0" applyFont="1" applyAlignment="1">
      <alignment horizontal="left" vertical="top" wrapText="1"/>
    </xf>
    <xf numFmtId="0" fontId="81" fillId="0" borderId="0" xfId="0" applyFont="1" applyFill="1" applyAlignment="1">
      <alignment horizontal="left" vertical="top" wrapText="1"/>
    </xf>
    <xf numFmtId="0" fontId="81" fillId="0" borderId="0" xfId="0" applyFont="1" applyAlignment="1">
      <alignment horizontal="justify" vertical="top" wrapText="1"/>
    </xf>
    <xf numFmtId="0" fontId="13" fillId="0" borderId="0" xfId="0" applyFont="1" applyAlignment="1" applyProtection="1">
      <alignment horizontal="left"/>
      <protection locked="0"/>
    </xf>
    <xf numFmtId="0" fontId="13" fillId="0" borderId="0" xfId="0" applyFont="1" applyAlignment="1">
      <alignment horizontal="left" vertical="center"/>
    </xf>
    <xf numFmtId="0" fontId="80" fillId="0" borderId="0" xfId="0" applyFont="1" applyAlignment="1">
      <alignment horizontal="justify" vertical="top" wrapText="1"/>
    </xf>
    <xf numFmtId="0" fontId="80" fillId="0" borderId="15" xfId="0" applyFont="1" applyBorder="1" applyAlignment="1">
      <alignment horizontal="left" vertical="top" wrapText="1"/>
    </xf>
    <xf numFmtId="0" fontId="60" fillId="0" borderId="0" xfId="0" applyFont="1" applyAlignment="1">
      <alignment horizontal="justify" vertical="top" wrapText="1"/>
    </xf>
    <xf numFmtId="0" fontId="83" fillId="0" borderId="0" xfId="0" applyFont="1" applyAlignment="1">
      <alignment horizontal="left"/>
    </xf>
    <xf numFmtId="0" fontId="79" fillId="0" borderId="0" xfId="0" applyFont="1" applyAlignment="1">
      <alignment horizontal="left" vertical="top" wrapText="1"/>
    </xf>
    <xf numFmtId="0" fontId="81" fillId="0" borderId="0" xfId="0" applyFont="1" applyAlignment="1">
      <alignment horizontal="left" vertical="top"/>
    </xf>
    <xf numFmtId="0" fontId="0" fillId="0" borderId="0" xfId="0" applyAlignment="1" applyProtection="1">
      <alignment horizontal="left"/>
      <protection locked="0"/>
    </xf>
    <xf numFmtId="0" fontId="81" fillId="0" borderId="0" xfId="0" applyFont="1" applyAlignment="1">
      <alignment horizontal="left"/>
    </xf>
    <xf numFmtId="0" fontId="60" fillId="0" borderId="0" xfId="0" applyFont="1" applyAlignment="1">
      <alignment horizontal="left" vertical="top"/>
    </xf>
    <xf numFmtId="0" fontId="60" fillId="0" borderId="0" xfId="0" applyFont="1" applyAlignment="1">
      <alignment horizontal="left" wrapText="1"/>
    </xf>
    <xf numFmtId="0" fontId="80" fillId="0" borderId="15" xfId="0" applyFont="1" applyFill="1" applyBorder="1" applyAlignment="1">
      <alignment horizontal="left" vertical="top" wrapText="1"/>
    </xf>
    <xf numFmtId="0" fontId="60" fillId="0" borderId="48" xfId="0" applyFont="1" applyFill="1" applyBorder="1" applyAlignment="1">
      <alignment horizontal="justify" vertical="top" wrapText="1"/>
    </xf>
    <xf numFmtId="0" fontId="60" fillId="0" borderId="0" xfId="0" applyFont="1" applyFill="1" applyAlignment="1">
      <alignment horizontal="left" vertical="top" wrapText="1"/>
    </xf>
    <xf numFmtId="0" fontId="60" fillId="0" borderId="0" xfId="0" applyFont="1" applyFill="1" applyAlignment="1" applyProtection="1">
      <alignment horizontal="left"/>
      <protection locked="0"/>
    </xf>
    <xf numFmtId="0" fontId="60" fillId="0" borderId="0" xfId="0" applyFont="1" applyFill="1" applyAlignment="1">
      <alignment horizontal="left"/>
    </xf>
    <xf numFmtId="0" fontId="60" fillId="0" borderId="48" xfId="0" applyFont="1" applyBorder="1" applyAlignment="1">
      <alignment horizontal="justify" vertical="top" wrapText="1"/>
    </xf>
    <xf numFmtId="0" fontId="60" fillId="0" borderId="0" xfId="0" applyFont="1" applyAlignment="1">
      <alignment horizontal="left"/>
    </xf>
    <xf numFmtId="0" fontId="60" fillId="0" borderId="0" xfId="0" applyFont="1" applyFill="1" applyAlignment="1">
      <alignment horizontal="left" vertical="top"/>
    </xf>
    <xf numFmtId="0" fontId="82" fillId="0" borderId="0" xfId="0" applyFont="1" applyFill="1" applyAlignment="1" applyProtection="1">
      <alignment horizontal="left"/>
      <protection locked="0"/>
    </xf>
    <xf numFmtId="0" fontId="83" fillId="0" borderId="0" xfId="0" applyFont="1" applyFill="1" applyAlignment="1">
      <alignment horizontal="left"/>
    </xf>
    <xf numFmtId="0" fontId="60" fillId="0" borderId="0" xfId="0" applyFont="1" applyFill="1" applyAlignment="1">
      <alignment horizontal="justify" vertical="top" wrapText="1"/>
    </xf>
    <xf numFmtId="0" fontId="60" fillId="0" borderId="0" xfId="0" applyFont="1" applyFill="1" applyAlignment="1">
      <alignment horizontal="justify" vertical="top"/>
    </xf>
    <xf numFmtId="0" fontId="13" fillId="0" borderId="0" xfId="0" applyFont="1" applyFill="1" applyAlignment="1">
      <alignment horizontal="left" vertical="center"/>
    </xf>
    <xf numFmtId="0" fontId="13" fillId="0" borderId="0" xfId="0" applyFont="1" applyFill="1" applyAlignment="1" applyProtection="1">
      <alignment horizontal="left"/>
      <protection locked="0"/>
    </xf>
    <xf numFmtId="0" fontId="60" fillId="0" borderId="0" xfId="0" applyFont="1" applyFill="1" applyBorder="1" applyAlignment="1">
      <alignment horizontal="justify" vertical="top" wrapText="1"/>
    </xf>
    <xf numFmtId="0" fontId="0" fillId="0" borderId="0" xfId="0" applyFill="1" applyAlignment="1">
      <alignment horizontal="justify" vertical="top" wrapText="1"/>
    </xf>
    <xf numFmtId="0" fontId="80" fillId="0" borderId="0" xfId="0" applyFont="1" applyFill="1" applyAlignment="1">
      <alignment horizontal="justify" vertical="top" wrapText="1"/>
    </xf>
    <xf numFmtId="0" fontId="87" fillId="0" borderId="0" xfId="0" applyFont="1" applyFill="1" applyAlignment="1">
      <alignment horizontal="left"/>
    </xf>
    <xf numFmtId="0" fontId="0" fillId="0" borderId="0" xfId="0" applyFill="1" applyAlignment="1" applyProtection="1">
      <alignment horizontal="left"/>
      <protection locked="0"/>
    </xf>
    <xf numFmtId="0" fontId="79" fillId="0" borderId="0" xfId="0" applyFont="1" applyFill="1" applyAlignment="1">
      <alignment horizontal="left" vertical="top" wrapText="1"/>
    </xf>
    <xf numFmtId="0" fontId="2" fillId="0" borderId="0" xfId="0" quotePrefix="1" applyFont="1" applyFill="1" applyAlignment="1" applyProtection="1">
      <alignment horizontal="right"/>
      <protection locked="0"/>
    </xf>
    <xf numFmtId="0" fontId="2" fillId="0" borderId="0" xfId="0" applyFont="1" applyFill="1" applyAlignment="1" applyProtection="1">
      <alignment horizontal="right"/>
      <protection locked="0"/>
    </xf>
    <xf numFmtId="0" fontId="81" fillId="0" borderId="10" xfId="0" applyFont="1" applyBorder="1" applyAlignment="1" applyProtection="1">
      <alignment horizontal="left" vertical="center"/>
      <protection locked="0"/>
    </xf>
    <xf numFmtId="0" fontId="13" fillId="0" borderId="0" xfId="0" applyFont="1" applyAlignment="1" applyProtection="1">
      <alignment horizontal="left" vertical="top" wrapText="1"/>
    </xf>
    <xf numFmtId="0" fontId="81" fillId="0" borderId="0" xfId="0" applyFont="1" applyAlignment="1" applyProtection="1">
      <alignment horizontal="left" wrapText="1"/>
      <protection locked="0"/>
    </xf>
    <xf numFmtId="0" fontId="81" fillId="0" borderId="0" xfId="0" applyFont="1" applyAlignment="1" applyProtection="1">
      <alignment horizontal="left" vertical="center"/>
    </xf>
    <xf numFmtId="4" fontId="81" fillId="0" borderId="10" xfId="0" applyNumberFormat="1" applyFont="1" applyBorder="1" applyAlignment="1" applyProtection="1">
      <alignment horizontal="left" vertical="center"/>
      <protection locked="0"/>
    </xf>
    <xf numFmtId="0" fontId="81" fillId="0" borderId="10" xfId="0" applyFont="1" applyBorder="1" applyAlignment="1" applyProtection="1">
      <alignment horizontal="left" vertical="center" wrapText="1"/>
      <protection locked="0"/>
    </xf>
    <xf numFmtId="0" fontId="81" fillId="0" borderId="0" xfId="0" applyFont="1" applyAlignment="1" applyProtection="1">
      <alignment horizontal="right" vertical="center"/>
    </xf>
    <xf numFmtId="0" fontId="60" fillId="0" borderId="0" xfId="0" applyFont="1" applyAlignment="1" applyProtection="1">
      <alignment horizontal="left" wrapText="1"/>
      <protection locked="0"/>
    </xf>
    <xf numFmtId="0" fontId="81" fillId="0" borderId="0" xfId="0" applyFont="1" applyAlignment="1" applyProtection="1">
      <alignment horizontal="justify" vertical="center" wrapText="1"/>
    </xf>
    <xf numFmtId="0" fontId="81" fillId="0" borderId="0" xfId="0" applyFont="1" applyAlignment="1" applyProtection="1">
      <alignment horizontal="justify" vertical="center"/>
    </xf>
    <xf numFmtId="0" fontId="13" fillId="0" borderId="0" xfId="0" applyFont="1" applyAlignment="1" applyProtection="1">
      <alignment horizontal="left" vertical="center"/>
    </xf>
    <xf numFmtId="0" fontId="81" fillId="0" borderId="48" xfId="0" applyFont="1" applyBorder="1" applyAlignment="1" applyProtection="1">
      <alignment horizontal="justify" vertical="top" wrapText="1"/>
    </xf>
    <xf numFmtId="0" fontId="60" fillId="0" borderId="0" xfId="0" applyFont="1" applyAlignment="1" applyProtection="1">
      <alignment horizontal="justify" vertical="top" wrapText="1"/>
    </xf>
    <xf numFmtId="0" fontId="81" fillId="0" borderId="0" xfId="0" applyFont="1" applyAlignment="1" applyProtection="1">
      <alignment horizontal="justify" vertical="top" wrapText="1"/>
    </xf>
    <xf numFmtId="0" fontId="80" fillId="0" borderId="15" xfId="0" applyFont="1" applyBorder="1" applyAlignment="1" applyProtection="1">
      <alignment horizontal="left" vertical="top" wrapText="1"/>
    </xf>
    <xf numFmtId="0" fontId="80" fillId="0" borderId="0" xfId="0" applyFont="1" applyAlignment="1" applyProtection="1">
      <alignment horizontal="justify" vertical="top" wrapText="1"/>
    </xf>
    <xf numFmtId="0" fontId="81" fillId="0" borderId="0" xfId="0" applyFont="1" applyAlignment="1" applyProtection="1">
      <alignment horizontal="left" wrapText="1"/>
    </xf>
    <xf numFmtId="0" fontId="89" fillId="0" borderId="0" xfId="0" applyFont="1" applyAlignment="1" applyProtection="1">
      <alignment horizontal="left" vertical="center"/>
    </xf>
    <xf numFmtId="0" fontId="83" fillId="0" borderId="10" xfId="0" applyFont="1" applyBorder="1" applyAlignment="1" applyProtection="1">
      <alignment horizontal="left" vertical="center"/>
    </xf>
    <xf numFmtId="0" fontId="83" fillId="0" borderId="10" xfId="0" applyFont="1" applyBorder="1" applyAlignment="1" applyProtection="1">
      <alignment horizontal="left" vertical="center" wrapText="1"/>
    </xf>
    <xf numFmtId="0" fontId="81" fillId="0" borderId="0" xfId="0" applyFont="1" applyAlignment="1" applyProtection="1">
      <alignment horizontal="left"/>
    </xf>
    <xf numFmtId="0" fontId="60" fillId="0" borderId="0" xfId="0" applyFont="1" applyAlignment="1" applyProtection="1">
      <alignment horizontal="left" wrapText="1"/>
    </xf>
    <xf numFmtId="0" fontId="79" fillId="0" borderId="0" xfId="0" applyFont="1" applyAlignment="1" applyProtection="1">
      <alignment horizontal="left" vertical="top" wrapText="1"/>
    </xf>
    <xf numFmtId="0" fontId="81" fillId="0" borderId="0" xfId="0" applyFont="1" applyBorder="1" applyAlignment="1" applyProtection="1">
      <alignment horizontal="justify" vertical="top" wrapText="1"/>
    </xf>
    <xf numFmtId="0" fontId="0" fillId="0" borderId="0" xfId="0" applyAlignment="1" applyProtection="1">
      <alignment horizontal="justify" vertical="top" wrapText="1"/>
    </xf>
    <xf numFmtId="0" fontId="88" fillId="0" borderId="0" xfId="0" applyFont="1" applyAlignment="1" applyProtection="1">
      <alignment horizontal="left" vertical="center"/>
    </xf>
    <xf numFmtId="0" fontId="60" fillId="0" borderId="0" xfId="0" applyFont="1" applyFill="1" applyAlignment="1" applyProtection="1">
      <alignment horizontal="left"/>
    </xf>
    <xf numFmtId="0" fontId="60" fillId="0" borderId="0" xfId="0" applyFont="1" applyFill="1" applyAlignment="1" applyProtection="1">
      <alignment horizontal="left" wrapText="1"/>
      <protection locked="0"/>
    </xf>
    <xf numFmtId="0" fontId="60" fillId="0" borderId="0" xfId="0" applyFont="1" applyFill="1" applyAlignment="1" applyProtection="1">
      <alignment horizontal="left" vertical="center"/>
    </xf>
    <xf numFmtId="0" fontId="60" fillId="0" borderId="0" xfId="0" applyFont="1" applyFill="1" applyAlignment="1" applyProtection="1">
      <alignment horizontal="left" wrapText="1"/>
    </xf>
    <xf numFmtId="0" fontId="80" fillId="0" borderId="15" xfId="0" applyFont="1" applyFill="1" applyBorder="1" applyAlignment="1" applyProtection="1">
      <alignment horizontal="left" vertical="top" wrapText="1"/>
    </xf>
    <xf numFmtId="0" fontId="60" fillId="0" borderId="48" xfId="0" applyFont="1" applyFill="1" applyBorder="1" applyAlignment="1" applyProtection="1">
      <alignment horizontal="justify" vertical="top" wrapText="1"/>
    </xf>
    <xf numFmtId="0" fontId="60" fillId="0" borderId="0" xfId="0" applyFont="1" applyFill="1" applyBorder="1" applyAlignment="1" applyProtection="1">
      <alignment horizontal="justify" vertical="top" wrapText="1"/>
    </xf>
    <xf numFmtId="0" fontId="60" fillId="0" borderId="0" xfId="0" applyFont="1" applyFill="1" applyAlignment="1" applyProtection="1">
      <alignment horizontal="justify" vertical="top" wrapText="1"/>
    </xf>
    <xf numFmtId="0" fontId="13" fillId="0" borderId="0" xfId="0" applyFont="1" applyFill="1" applyAlignment="1" applyProtection="1">
      <alignment horizontal="left" vertical="top" wrapText="1"/>
    </xf>
    <xf numFmtId="0" fontId="88" fillId="0" borderId="0" xfId="0" applyFont="1" applyFill="1" applyAlignment="1" applyProtection="1">
      <alignment horizontal="left" vertical="center" wrapText="1"/>
    </xf>
    <xf numFmtId="0" fontId="88" fillId="0" borderId="0" xfId="0" applyFont="1" applyFill="1" applyAlignment="1" applyProtection="1">
      <alignment horizontal="left" vertical="center"/>
    </xf>
    <xf numFmtId="0" fontId="60" fillId="0" borderId="0" xfId="0" applyFont="1" applyFill="1" applyAlignment="1" applyProtection="1">
      <alignment horizontal="right" vertical="center"/>
    </xf>
    <xf numFmtId="0" fontId="60" fillId="0" borderId="10" xfId="0" applyFont="1" applyFill="1" applyBorder="1" applyAlignment="1" applyProtection="1">
      <alignment horizontal="left" vertical="center" wrapText="1"/>
      <protection locked="0"/>
    </xf>
    <xf numFmtId="0" fontId="60" fillId="0" borderId="10" xfId="0" applyFont="1" applyFill="1" applyBorder="1" applyAlignment="1" applyProtection="1">
      <alignment horizontal="left" vertical="center"/>
      <protection locked="0"/>
    </xf>
    <xf numFmtId="4" fontId="60" fillId="0" borderId="10" xfId="0" applyNumberFormat="1" applyFont="1" applyFill="1" applyBorder="1" applyAlignment="1" applyProtection="1">
      <alignment horizontal="left" vertical="center"/>
      <protection locked="0"/>
    </xf>
    <xf numFmtId="0" fontId="60" fillId="0" borderId="0" xfId="0" applyFont="1" applyFill="1" applyAlignment="1" applyProtection="1">
      <alignment horizontal="justify" vertical="center" wrapText="1"/>
    </xf>
    <xf numFmtId="0" fontId="60" fillId="0" borderId="0" xfId="0" applyFont="1" applyFill="1" applyAlignment="1" applyProtection="1">
      <alignment horizontal="justify" vertical="center"/>
    </xf>
    <xf numFmtId="0" fontId="83" fillId="0" borderId="10" xfId="0" applyFont="1" applyFill="1" applyBorder="1" applyAlignment="1" applyProtection="1">
      <alignment horizontal="left" vertical="center" wrapText="1"/>
    </xf>
    <xf numFmtId="0" fontId="83" fillId="0" borderId="10" xfId="0" applyFont="1" applyFill="1" applyBorder="1" applyAlignment="1" applyProtection="1">
      <alignment horizontal="left" vertical="center"/>
    </xf>
    <xf numFmtId="0" fontId="83" fillId="0" borderId="11" xfId="0" applyFont="1" applyFill="1" applyBorder="1" applyAlignment="1" applyProtection="1">
      <alignment horizontal="left" vertical="center"/>
    </xf>
    <xf numFmtId="0" fontId="83" fillId="0" borderId="13" xfId="0" applyFont="1" applyFill="1" applyBorder="1" applyAlignment="1" applyProtection="1">
      <alignment horizontal="left" vertical="center"/>
    </xf>
    <xf numFmtId="0" fontId="13" fillId="0" borderId="0" xfId="0" applyFont="1" applyFill="1" applyAlignment="1" applyProtection="1">
      <alignment horizontal="left" vertical="center"/>
    </xf>
    <xf numFmtId="0" fontId="0" fillId="0" borderId="0" xfId="0" applyFill="1"/>
    <xf numFmtId="0" fontId="80" fillId="0" borderId="0" xfId="0" applyFont="1" applyFill="1" applyAlignment="1" applyProtection="1">
      <alignment horizontal="justify" vertical="top" wrapText="1"/>
    </xf>
    <xf numFmtId="0" fontId="0" fillId="0" borderId="0" xfId="0" applyFill="1" applyAlignment="1" applyProtection="1">
      <alignment horizontal="justify" vertical="top" wrapText="1"/>
    </xf>
    <xf numFmtId="0" fontId="79" fillId="0" borderId="0" xfId="0" applyFont="1" applyFill="1" applyAlignment="1" applyProtection="1">
      <alignment horizontal="left" vertical="top" wrapText="1"/>
    </xf>
    <xf numFmtId="0" fontId="5" fillId="0" borderId="0" xfId="0" applyFont="1" applyAlignment="1">
      <alignment horizontal="left" vertical="top" wrapText="1"/>
    </xf>
    <xf numFmtId="0" fontId="5" fillId="0" borderId="0" xfId="0" applyFont="1" applyBorder="1" applyAlignment="1">
      <alignment horizontal="justify" vertical="top" wrapText="1"/>
    </xf>
    <xf numFmtId="0" fontId="36" fillId="0" borderId="15" xfId="0" quotePrefix="1" applyFont="1" applyBorder="1" applyAlignment="1">
      <alignment horizontal="left"/>
    </xf>
    <xf numFmtId="3" fontId="5" fillId="0" borderId="0" xfId="0" applyNumberFormat="1" applyFont="1" applyAlignment="1" applyProtection="1">
      <alignment horizontal="center"/>
      <protection locked="0"/>
    </xf>
    <xf numFmtId="0" fontId="5" fillId="0" borderId="0" xfId="0" applyFont="1" applyAlignment="1" applyProtection="1">
      <alignment horizontal="center"/>
      <protection locked="0"/>
    </xf>
    <xf numFmtId="14" fontId="5" fillId="0" borderId="0" xfId="0" applyNumberFormat="1" applyFont="1" applyAlignment="1">
      <alignment horizontal="center"/>
    </xf>
    <xf numFmtId="0" fontId="4" fillId="0" borderId="0" xfId="0" applyFont="1" applyAlignment="1">
      <alignment horizontal="left" vertical="top" wrapText="1"/>
    </xf>
    <xf numFmtId="0" fontId="5" fillId="0" borderId="0" xfId="0" applyFont="1" applyAlignment="1">
      <alignment horizontal="left" vertical="top"/>
    </xf>
    <xf numFmtId="0" fontId="118" fillId="0" borderId="0" xfId="0" applyFont="1" applyAlignment="1">
      <alignment horizontal="left" vertical="top" wrapText="1"/>
    </xf>
    <xf numFmtId="0" fontId="5" fillId="0" borderId="0" xfId="0" applyFont="1" applyAlignment="1" applyProtection="1">
      <alignment horizontal="left"/>
      <protection locked="0"/>
    </xf>
    <xf numFmtId="0" fontId="5" fillId="0" borderId="0" xfId="0" applyFont="1" applyAlignment="1">
      <alignment horizontal="left" wrapText="1"/>
    </xf>
    <xf numFmtId="0" fontId="3" fillId="44" borderId="15" xfId="0" applyFont="1" applyFill="1" applyBorder="1" applyAlignment="1" applyProtection="1">
      <alignment horizontal="left"/>
      <protection locked="0"/>
    </xf>
    <xf numFmtId="0" fontId="3" fillId="44" borderId="49" xfId="0" applyFont="1" applyFill="1" applyBorder="1" applyAlignment="1" applyProtection="1">
      <alignment horizontal="left"/>
      <protection locked="0"/>
    </xf>
    <xf numFmtId="0" fontId="3" fillId="44" borderId="50" xfId="0" applyFont="1" applyFill="1" applyBorder="1" applyProtection="1">
      <protection locked="0"/>
    </xf>
    <xf numFmtId="0" fontId="3" fillId="44" borderId="12" xfId="0" applyFont="1" applyFill="1" applyBorder="1" applyProtection="1">
      <protection locked="0"/>
    </xf>
    <xf numFmtId="0" fontId="3" fillId="44" borderId="11" xfId="0" applyFont="1" applyFill="1" applyBorder="1" applyProtection="1">
      <protection locked="0"/>
    </xf>
    <xf numFmtId="0" fontId="3" fillId="44" borderId="13" xfId="0" applyFont="1" applyFill="1" applyBorder="1" applyProtection="1">
      <protection locked="0"/>
    </xf>
    <xf numFmtId="167" fontId="0" fillId="0" borderId="0" xfId="0" applyNumberFormat="1" applyAlignment="1">
      <alignment horizontal="left" vertical="center"/>
    </xf>
  </cellXfs>
  <cellStyles count="51">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Komma" xfId="47" builtinId="3"/>
    <cellStyle name="Neutral" xfId="31" builtinId="28" customBuiltin="1"/>
    <cellStyle name="Notiz" xfId="32" builtinId="10" customBuiltin="1"/>
    <cellStyle name="Prozent" xfId="46" builtinId="5"/>
    <cellStyle name="Prozent 2" xfId="50"/>
    <cellStyle name="Schlecht" xfId="33" builtinId="27" customBuiltin="1"/>
    <cellStyle name="Standard" xfId="0" builtinId="0"/>
    <cellStyle name="Standard 2" xfId="34"/>
    <cellStyle name="Standard 3" xfId="45"/>
    <cellStyle name="Standard 3 2" xfId="48"/>
    <cellStyle name="Standard_Pauschale Einkaufsberechnung" xfId="49"/>
    <cellStyle name="Standard_Planbeschrieb MODUL_d_V5" xfId="35"/>
    <cellStyle name="Standard_Planbeschrieb MODUL_d_V5 (2)_0 Reglement 2012  2011-9-7_Anpassungen vog (2)" xfId="36"/>
    <cellStyle name="Überschrift" xfId="37" builtinId="15" customBuiltin="1"/>
    <cellStyle name="Überschrift 1" xfId="38" builtinId="16" customBuiltin="1"/>
    <cellStyle name="Überschrift 2" xfId="39" builtinId="17" customBuiltin="1"/>
    <cellStyle name="Überschrift 3" xfId="40" builtinId="18" customBuiltin="1"/>
    <cellStyle name="Überschrift 4" xfId="41" builtinId="19" customBuiltin="1"/>
    <cellStyle name="Verknüpfte Zelle" xfId="42" builtinId="24" customBuiltin="1"/>
    <cellStyle name="Warnender Text" xfId="43" builtinId="11" customBuiltin="1"/>
    <cellStyle name="Zelle überprüfen" xfId="44" builtinId="23" customBuiltin="1"/>
  </cellStyles>
  <dxfs count="35">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condense val="0"/>
        <extend val="0"/>
        <color indexed="9"/>
      </font>
    </dxf>
    <dxf>
      <font>
        <condense val="0"/>
        <extend val="0"/>
        <color indexed="9"/>
      </font>
    </dxf>
    <dxf>
      <font>
        <condense val="0"/>
        <extend val="0"/>
        <color indexed="44"/>
      </font>
    </dxf>
    <dxf>
      <font>
        <condense val="0"/>
        <extend val="0"/>
        <color indexed="9"/>
      </font>
    </dxf>
    <dxf>
      <fill>
        <patternFill>
          <bgColor indexed="44"/>
        </patternFill>
      </fill>
    </dxf>
    <dxf>
      <font>
        <strike val="0"/>
        <condense val="0"/>
        <extend val="0"/>
        <color indexed="9"/>
      </font>
      <fill>
        <patternFill>
          <bgColor indexed="9"/>
        </patternFill>
      </fill>
      <border>
        <left/>
        <right/>
        <top/>
        <bottom/>
      </border>
    </dxf>
    <dxf>
      <font>
        <color theme="0"/>
      </font>
    </dxf>
    <dxf>
      <font>
        <color theme="0"/>
      </font>
    </dxf>
    <dxf>
      <font>
        <color theme="0"/>
      </font>
    </dxf>
    <dxf>
      <font>
        <color theme="0"/>
      </font>
    </dxf>
    <dxf>
      <fill>
        <patternFill>
          <bgColor indexed="13"/>
        </patternFill>
      </fill>
    </dxf>
    <dxf>
      <font>
        <condense val="0"/>
        <extend val="0"/>
        <color auto="1"/>
      </font>
    </dxf>
    <dxf>
      <fill>
        <patternFill>
          <bgColor indexed="13"/>
        </patternFill>
      </fill>
    </dxf>
    <dxf>
      <font>
        <condense val="0"/>
        <extend val="0"/>
        <color indexed="9"/>
      </font>
      <border>
        <left/>
        <right/>
        <top/>
        <bottom/>
      </border>
    </dxf>
    <dxf>
      <fill>
        <patternFill>
          <bgColor indexed="13"/>
        </patternFill>
      </fill>
    </dxf>
    <dxf>
      <font>
        <color theme="0"/>
      </font>
    </dxf>
    <dxf>
      <font>
        <color theme="0"/>
      </font>
    </dxf>
    <dxf>
      <font>
        <color theme="0"/>
      </font>
    </dxf>
    <dxf>
      <font>
        <color theme="0"/>
      </font>
    </dxf>
    <dxf>
      <font>
        <color theme="0"/>
      </font>
    </dxf>
    <dxf>
      <fill>
        <patternFill>
          <bgColor indexed="13"/>
        </patternFill>
      </fill>
    </dxf>
    <dxf>
      <font>
        <color theme="0"/>
      </font>
    </dxf>
    <dxf>
      <font>
        <condense val="0"/>
        <extend val="0"/>
        <color indexed="9"/>
      </font>
    </dxf>
    <dxf>
      <font>
        <condense val="0"/>
        <extend val="0"/>
        <color indexed="9"/>
      </font>
    </dxf>
    <dxf>
      <fill>
        <patternFill patternType="none">
          <bgColor indexed="65"/>
        </patternFill>
      </fill>
      <border>
        <bottom style="thin">
          <color indexed="64"/>
        </bottom>
      </border>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dxf>
    <dxf>
      <font>
        <b/>
        <i val="0"/>
        <condense val="0"/>
        <extend val="0"/>
        <color indexed="10"/>
      </font>
    </dxf>
    <dxf>
      <font>
        <condense val="0"/>
        <extend val="0"/>
        <color indexed="9"/>
      </font>
    </dxf>
    <dxf>
      <font>
        <condense val="0"/>
        <extend val="0"/>
        <color indexed="8"/>
      </font>
      <fill>
        <patternFill>
          <bgColor indexed="43"/>
        </patternFill>
      </fill>
      <border>
        <bottom style="thin">
          <color indexed="64"/>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BADCDC"/>
      <rgbColor rgb="00FFCCCC"/>
      <rgbColor rgb="00000080"/>
      <rgbColor rgb="00E2E3FE"/>
      <rgbColor rgb="00800080"/>
      <rgbColor rgb="00F1F8B2"/>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2E5FF"/>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Drop" dropLines="2" dropStyle="combo" dx="22" fmlaLink="K3" fmlaRange="$M$3:$M$4" noThreeD="1" sel="2" val="0"/>
</file>

<file path=xl/ctrlProps/ctrlProp10.xml><?xml version="1.0" encoding="utf-8"?>
<formControlPr xmlns="http://schemas.microsoft.com/office/spreadsheetml/2009/9/main" objectType="Drop" dropLines="2" dropStyle="combo" dx="22" fmlaLink="$K$51" fmlaRange="$M$51:$M$52" noThreeD="1" sel="1" val="0"/>
</file>

<file path=xl/ctrlProps/ctrlProp11.xml><?xml version="1.0" encoding="utf-8"?>
<formControlPr xmlns="http://schemas.microsoft.com/office/spreadsheetml/2009/9/main" objectType="Drop" dropLines="3" dropStyle="combo" dx="22" fmlaLink="$J$32" fmlaRange="$K$33:$K$35" noThreeD="1" sel="3" val="0"/>
</file>

<file path=xl/ctrlProps/ctrlProp12.xml><?xml version="1.0" encoding="utf-8"?>
<formControlPr xmlns="http://schemas.microsoft.com/office/spreadsheetml/2009/9/main" objectType="Drop" dropLines="2" dropStyle="combo" dx="22" fmlaLink="$K$75" fmlaRange="$M$75:$M$76" noThreeD="1" sel="1" val="0"/>
</file>

<file path=xl/ctrlProps/ctrlProp13.xml><?xml version="1.0" encoding="utf-8"?>
<formControlPr xmlns="http://schemas.microsoft.com/office/spreadsheetml/2009/9/main" objectType="Drop" dropLines="2" dropStyle="combo" dx="22" fmlaLink="$K$77" fmlaRange="$M$77:$M$78" noThreeD="1" sel="1" val="0"/>
</file>

<file path=xl/ctrlProps/ctrlProp14.xml><?xml version="1.0" encoding="utf-8"?>
<formControlPr xmlns="http://schemas.microsoft.com/office/spreadsheetml/2009/9/main" objectType="Drop" dropLines="3" dropStyle="combo" dx="22" fmlaLink="$K$81" fmlaRange="$M$79:$M$81" noThreeD="1" sel="1" val="0"/>
</file>

<file path=xl/ctrlProps/ctrlProp2.xml><?xml version="1.0" encoding="utf-8"?>
<formControlPr xmlns="http://schemas.microsoft.com/office/spreadsheetml/2009/9/main" objectType="Drop" dropLines="4" dropStyle="combo" dx="22" fmlaLink="K5" fmlaRange="$M$5:$M$8" noThreeD="1" sel="2" val="0"/>
</file>

<file path=xl/ctrlProps/ctrlProp3.xml><?xml version="1.0" encoding="utf-8"?>
<formControlPr xmlns="http://schemas.microsoft.com/office/spreadsheetml/2009/9/main" objectType="Drop" dropLines="5" dropStyle="combo" dx="22" fmlaLink="$K$9" fmlaRange="$M$9:$M$13" noThreeD="1" sel="4" val="0"/>
</file>

<file path=xl/ctrlProps/ctrlProp4.xml><?xml version="1.0" encoding="utf-8"?>
<formControlPr xmlns="http://schemas.microsoft.com/office/spreadsheetml/2009/9/main" objectType="Drop" dropLines="3" dropStyle="combo" dx="22" fmlaLink="$K$15" fmlaRange="$M$15:$M$17" noThreeD="1" sel="2" val="0"/>
</file>

<file path=xl/ctrlProps/ctrlProp5.xml><?xml version="1.0" encoding="utf-8"?>
<formControlPr xmlns="http://schemas.microsoft.com/office/spreadsheetml/2009/9/main" objectType="Drop" dropLines="7" dropStyle="combo" dx="22" fmlaLink="$K$18" fmlaRange="$M$18:$M$24" noThreeD="1" sel="3" val="0"/>
</file>

<file path=xl/ctrlProps/ctrlProp6.xml><?xml version="1.0" encoding="utf-8"?>
<formControlPr xmlns="http://schemas.microsoft.com/office/spreadsheetml/2009/9/main" objectType="Drop" dropLines="9" dropStyle="combo" dx="22" fmlaLink="$K$25" fmlaRange="$M$25:$M$33" noThreeD="1" sel="1" val="0"/>
</file>

<file path=xl/ctrlProps/ctrlProp7.xml><?xml version="1.0" encoding="utf-8"?>
<formControlPr xmlns="http://schemas.microsoft.com/office/spreadsheetml/2009/9/main" objectType="Drop" dropLines="3" dropStyle="combo" dx="22" fmlaLink="$K$36" fmlaRange="$M$34:$M$36" noThreeD="1" sel="1" val="0"/>
</file>

<file path=xl/ctrlProps/ctrlProp8.xml><?xml version="1.0" encoding="utf-8"?>
<formControlPr xmlns="http://schemas.microsoft.com/office/spreadsheetml/2009/9/main" objectType="Drop" dropLines="14" dropStyle="combo" dx="22" fmlaLink="$K$37" fmlaRange="$M$37:$M$50" noThreeD="1" sel="8" val="0"/>
</file>

<file path=xl/ctrlProps/ctrlProp9.xml><?xml version="1.0" encoding="utf-8"?>
<formControlPr xmlns="http://schemas.microsoft.com/office/spreadsheetml/2009/9/main" objectType="Drop" dropLines="6" dropStyle="combo" dx="22" fmlaLink="$K$53" fmlaRange="$M$53:$M$5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4</xdr:col>
      <xdr:colOff>504825</xdr:colOff>
      <xdr:row>0</xdr:row>
      <xdr:rowOff>9525</xdr:rowOff>
    </xdr:from>
    <xdr:to>
      <xdr:col>7</xdr:col>
      <xdr:colOff>1143000</xdr:colOff>
      <xdr:row>1</xdr:row>
      <xdr:rowOff>47625</xdr:rowOff>
    </xdr:to>
    <xdr:pic>
      <xdr:nvPicPr>
        <xdr:cNvPr id="1430" name="Picture 26" descr="1 PA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2971800" y="9525"/>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6</xdr:col>
          <xdr:colOff>0</xdr:colOff>
          <xdr:row>12</xdr:row>
          <xdr:rowOff>0</xdr:rowOff>
        </xdr:to>
        <xdr:sp macro="" textlink="">
          <xdr:nvSpPr>
            <xdr:cNvPr id="1431" name="Drop Down 407" hidden="1">
              <a:extLst>
                <a:ext uri="{63B3BB69-23CF-44E3-9099-C40C66FF867C}">
                  <a14:compatExt spid="_x0000_s14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5</xdr:col>
          <xdr:colOff>830580</xdr:colOff>
          <xdr:row>13</xdr:row>
          <xdr:rowOff>0</xdr:rowOff>
        </xdr:to>
        <xdr:sp macro="" textlink="">
          <xdr:nvSpPr>
            <xdr:cNvPr id="1432" name="Drop Down 408" hidden="1">
              <a:extLst>
                <a:ext uri="{63B3BB69-23CF-44E3-9099-C40C66FF867C}">
                  <a14:compatExt spid="_x0000_s14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20</xdr:row>
          <xdr:rowOff>0</xdr:rowOff>
        </xdr:to>
        <xdr:sp macro="" textlink="">
          <xdr:nvSpPr>
            <xdr:cNvPr id="1437" name="Drop Down 413" hidden="1">
              <a:extLst>
                <a:ext uri="{63B3BB69-23CF-44E3-9099-C40C66FF867C}">
                  <a14:compatExt spid="_x0000_s14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6</xdr:col>
          <xdr:colOff>0</xdr:colOff>
          <xdr:row>21</xdr:row>
          <xdr:rowOff>0</xdr:rowOff>
        </xdr:to>
        <xdr:sp macro="" textlink="">
          <xdr:nvSpPr>
            <xdr:cNvPr id="1438" name="Drop Down 414" hidden="1">
              <a:extLst>
                <a:ext uri="{63B3BB69-23CF-44E3-9099-C40C66FF867C}">
                  <a14:compatExt spid="_x0000_s14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6</xdr:col>
          <xdr:colOff>0</xdr:colOff>
          <xdr:row>22</xdr:row>
          <xdr:rowOff>0</xdr:rowOff>
        </xdr:to>
        <xdr:sp macro="" textlink="">
          <xdr:nvSpPr>
            <xdr:cNvPr id="1439" name="Drop Down 415" hidden="1">
              <a:extLst>
                <a:ext uri="{63B3BB69-23CF-44E3-9099-C40C66FF867C}">
                  <a14:compatExt spid="_x0000_s14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0</xdr:colOff>
          <xdr:row>28</xdr:row>
          <xdr:rowOff>0</xdr:rowOff>
        </xdr:to>
        <xdr:sp macro="" textlink="">
          <xdr:nvSpPr>
            <xdr:cNvPr id="1440" name="Drop Down 416" hidden="1">
              <a:extLst>
                <a:ext uri="{63B3BB69-23CF-44E3-9099-C40C66FF867C}">
                  <a14:compatExt spid="_x0000_s14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6</xdr:col>
          <xdr:colOff>0</xdr:colOff>
          <xdr:row>29</xdr:row>
          <xdr:rowOff>0</xdr:rowOff>
        </xdr:to>
        <xdr:sp macro="" textlink="">
          <xdr:nvSpPr>
            <xdr:cNvPr id="1441" name="Drop Down 417" hidden="1">
              <a:extLst>
                <a:ext uri="{63B3BB69-23CF-44E3-9099-C40C66FF867C}">
                  <a14:compatExt spid="_x0000_s14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6</xdr:col>
          <xdr:colOff>0</xdr:colOff>
          <xdr:row>30</xdr:row>
          <xdr:rowOff>0</xdr:rowOff>
        </xdr:to>
        <xdr:sp macro="" textlink="">
          <xdr:nvSpPr>
            <xdr:cNvPr id="1442" name="Drop Down 418" hidden="1">
              <a:extLst>
                <a:ext uri="{63B3BB69-23CF-44E3-9099-C40C66FF867C}">
                  <a14:compatExt spid="_x0000_s14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6</xdr:col>
          <xdr:colOff>0</xdr:colOff>
          <xdr:row>32</xdr:row>
          <xdr:rowOff>0</xdr:rowOff>
        </xdr:to>
        <xdr:sp macro="" textlink="">
          <xdr:nvSpPr>
            <xdr:cNvPr id="1443" name="Drop Down 419" hidden="1">
              <a:extLst>
                <a:ext uri="{63B3BB69-23CF-44E3-9099-C40C66FF867C}">
                  <a14:compatExt spid="_x0000_s14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6</xdr:col>
          <xdr:colOff>0</xdr:colOff>
          <xdr:row>31</xdr:row>
          <xdr:rowOff>0</xdr:rowOff>
        </xdr:to>
        <xdr:sp macro="" textlink="">
          <xdr:nvSpPr>
            <xdr:cNvPr id="1445" name="Drop Down 421" hidden="1">
              <a:extLst>
                <a:ext uri="{63B3BB69-23CF-44E3-9099-C40C66FF867C}">
                  <a14:compatExt spid="_x0000_s14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7</xdr:col>
          <xdr:colOff>502920</xdr:colOff>
          <xdr:row>28</xdr:row>
          <xdr:rowOff>0</xdr:rowOff>
        </xdr:to>
        <xdr:sp macro="" textlink="">
          <xdr:nvSpPr>
            <xdr:cNvPr id="1446" name="Drop Down 422" hidden="1">
              <a:extLst>
                <a:ext uri="{63B3BB69-23CF-44E3-9099-C40C66FF867C}">
                  <a14:compatExt spid="_x0000_s14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0</xdr:rowOff>
        </xdr:from>
        <xdr:to>
          <xdr:col>4</xdr:col>
          <xdr:colOff>769620</xdr:colOff>
          <xdr:row>86</xdr:row>
          <xdr:rowOff>0</xdr:rowOff>
        </xdr:to>
        <xdr:sp macro="" textlink="">
          <xdr:nvSpPr>
            <xdr:cNvPr id="1447" name="Drop Down 423" hidden="1">
              <a:extLst>
                <a:ext uri="{63B3BB69-23CF-44E3-9099-C40C66FF867C}">
                  <a14:compatExt spid="_x0000_s14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411480</xdr:colOff>
          <xdr:row>85</xdr:row>
          <xdr:rowOff>0</xdr:rowOff>
        </xdr:from>
        <xdr:to>
          <xdr:col>8</xdr:col>
          <xdr:colOff>0</xdr:colOff>
          <xdr:row>86</xdr:row>
          <xdr:rowOff>0</xdr:rowOff>
        </xdr:to>
        <xdr:sp macro="" textlink="">
          <xdr:nvSpPr>
            <xdr:cNvPr id="1448" name="Drop Down 424" hidden="1">
              <a:extLst>
                <a:ext uri="{63B3BB69-23CF-44E3-9099-C40C66FF867C}">
                  <a14:compatExt spid="_x0000_s14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0</xdr:row>
          <xdr:rowOff>30480</xdr:rowOff>
        </xdr:from>
        <xdr:to>
          <xdr:col>3</xdr:col>
          <xdr:colOff>1668780</xdr:colOff>
          <xdr:row>0</xdr:row>
          <xdr:rowOff>388620</xdr:rowOff>
        </xdr:to>
        <xdr:sp macro="" textlink="">
          <xdr:nvSpPr>
            <xdr:cNvPr id="1449" name="Drop Down 425" hidden="1">
              <a:extLst>
                <a:ext uri="{63B3BB69-23CF-44E3-9099-C40C66FF867C}">
                  <a14:compatExt spid="_x0000_s14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4</xdr:col>
      <xdr:colOff>447675</xdr:colOff>
      <xdr:row>3</xdr:row>
      <xdr:rowOff>0</xdr:rowOff>
    </xdr:from>
    <xdr:to>
      <xdr:col>8</xdr:col>
      <xdr:colOff>628650</xdr:colOff>
      <xdr:row>4</xdr:row>
      <xdr:rowOff>314325</xdr:rowOff>
    </xdr:to>
    <xdr:pic>
      <xdr:nvPicPr>
        <xdr:cNvPr id="2" name="Picture 1" descr="1 PA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3086100" y="485775"/>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447675</xdr:colOff>
      <xdr:row>3</xdr:row>
      <xdr:rowOff>0</xdr:rowOff>
    </xdr:from>
    <xdr:to>
      <xdr:col>8</xdr:col>
      <xdr:colOff>628650</xdr:colOff>
      <xdr:row>4</xdr:row>
      <xdr:rowOff>314325</xdr:rowOff>
    </xdr:to>
    <xdr:pic>
      <xdr:nvPicPr>
        <xdr:cNvPr id="2" name="Picture 1" descr="1 PA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3095625" y="485775"/>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285750</xdr:colOff>
      <xdr:row>0</xdr:row>
      <xdr:rowOff>0</xdr:rowOff>
    </xdr:from>
    <xdr:to>
      <xdr:col>8</xdr:col>
      <xdr:colOff>733425</xdr:colOff>
      <xdr:row>3</xdr:row>
      <xdr:rowOff>57150</xdr:rowOff>
    </xdr:to>
    <xdr:pic>
      <xdr:nvPicPr>
        <xdr:cNvPr id="2" name="Picture 1" descr="1 PA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4143375" y="0"/>
          <a:ext cx="3143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285750</xdr:colOff>
      <xdr:row>0</xdr:row>
      <xdr:rowOff>0</xdr:rowOff>
    </xdr:from>
    <xdr:to>
      <xdr:col>8</xdr:col>
      <xdr:colOff>542925</xdr:colOff>
      <xdr:row>3</xdr:row>
      <xdr:rowOff>57150</xdr:rowOff>
    </xdr:to>
    <xdr:pic>
      <xdr:nvPicPr>
        <xdr:cNvPr id="2" name="Picture 1" descr="1 PA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4143375" y="0"/>
          <a:ext cx="3143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638175</xdr:colOff>
      <xdr:row>0</xdr:row>
      <xdr:rowOff>0</xdr:rowOff>
    </xdr:from>
    <xdr:to>
      <xdr:col>20</xdr:col>
      <xdr:colOff>9525</xdr:colOff>
      <xdr:row>0</xdr:row>
      <xdr:rowOff>476250</xdr:rowOff>
    </xdr:to>
    <xdr:pic>
      <xdr:nvPicPr>
        <xdr:cNvPr id="9509" name="Picture 1" descr="1 PA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2971800" y="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266700</xdr:colOff>
      <xdr:row>0</xdr:row>
      <xdr:rowOff>0</xdr:rowOff>
    </xdr:from>
    <xdr:to>
      <xdr:col>18</xdr:col>
      <xdr:colOff>25400</xdr:colOff>
      <xdr:row>2</xdr:row>
      <xdr:rowOff>152400</xdr:rowOff>
    </xdr:to>
    <xdr:pic>
      <xdr:nvPicPr>
        <xdr:cNvPr id="5442" name="Picture 3" descr="1 PA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3143250" y="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723900</xdr:colOff>
      <xdr:row>0</xdr:row>
      <xdr:rowOff>19050</xdr:rowOff>
    </xdr:from>
    <xdr:to>
      <xdr:col>10</xdr:col>
      <xdr:colOff>0</xdr:colOff>
      <xdr:row>3</xdr:row>
      <xdr:rowOff>9525</xdr:rowOff>
    </xdr:to>
    <xdr:pic>
      <xdr:nvPicPr>
        <xdr:cNvPr id="14653" name="Picture 3" descr="1 PA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3019425" y="1905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552450</xdr:colOff>
      <xdr:row>0</xdr:row>
      <xdr:rowOff>0</xdr:rowOff>
    </xdr:from>
    <xdr:to>
      <xdr:col>14</xdr:col>
      <xdr:colOff>0</xdr:colOff>
      <xdr:row>0</xdr:row>
      <xdr:rowOff>476250</xdr:rowOff>
    </xdr:to>
    <xdr:pic>
      <xdr:nvPicPr>
        <xdr:cNvPr id="7488" name="Picture 2" descr="1 PA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6029325" y="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114300</xdr:colOff>
      <xdr:row>0</xdr:row>
      <xdr:rowOff>19050</xdr:rowOff>
    </xdr:from>
    <xdr:to>
      <xdr:col>9</xdr:col>
      <xdr:colOff>731520</xdr:colOff>
      <xdr:row>2</xdr:row>
      <xdr:rowOff>152400</xdr:rowOff>
    </xdr:to>
    <xdr:pic>
      <xdr:nvPicPr>
        <xdr:cNvPr id="19532" name="Picture 3" descr="1 PA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2990850" y="19050"/>
          <a:ext cx="31337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447675</xdr:colOff>
      <xdr:row>2</xdr:row>
      <xdr:rowOff>0</xdr:rowOff>
    </xdr:from>
    <xdr:to>
      <xdr:col>8</xdr:col>
      <xdr:colOff>628650</xdr:colOff>
      <xdr:row>3</xdr:row>
      <xdr:rowOff>314325</xdr:rowOff>
    </xdr:to>
    <xdr:pic>
      <xdr:nvPicPr>
        <xdr:cNvPr id="10538" name="Picture 1" descr="1 PA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3086100" y="36195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447675</xdr:colOff>
      <xdr:row>2</xdr:row>
      <xdr:rowOff>0</xdr:rowOff>
    </xdr:from>
    <xdr:to>
      <xdr:col>8</xdr:col>
      <xdr:colOff>628650</xdr:colOff>
      <xdr:row>3</xdr:row>
      <xdr:rowOff>314325</xdr:rowOff>
    </xdr:to>
    <xdr:pic>
      <xdr:nvPicPr>
        <xdr:cNvPr id="2" name="Picture 1" descr="1 PA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3086100" y="36195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447675</xdr:colOff>
      <xdr:row>2</xdr:row>
      <xdr:rowOff>0</xdr:rowOff>
    </xdr:from>
    <xdr:to>
      <xdr:col>8</xdr:col>
      <xdr:colOff>628650</xdr:colOff>
      <xdr:row>3</xdr:row>
      <xdr:rowOff>314325</xdr:rowOff>
    </xdr:to>
    <xdr:pic>
      <xdr:nvPicPr>
        <xdr:cNvPr id="2" name="Picture 1" descr="1 PA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3086100" y="36195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447675</xdr:colOff>
      <xdr:row>3</xdr:row>
      <xdr:rowOff>0</xdr:rowOff>
    </xdr:from>
    <xdr:to>
      <xdr:col>8</xdr:col>
      <xdr:colOff>628650</xdr:colOff>
      <xdr:row>4</xdr:row>
      <xdr:rowOff>314326</xdr:rowOff>
    </xdr:to>
    <xdr:pic>
      <xdr:nvPicPr>
        <xdr:cNvPr id="11557" name="Picture 1" descr="1 PAT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3086100" y="485775"/>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customProperty" Target="../customProperty1.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omments" Target="../comments1.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5.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2.bin"/><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4.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7"/>
  </sheetPr>
  <dimension ref="A1:W96"/>
  <sheetViews>
    <sheetView showGridLines="0" tabSelected="1" zoomScale="150" workbookViewId="0">
      <selection activeCell="E14" sqref="E14"/>
    </sheetView>
  </sheetViews>
  <sheetFormatPr baseColWidth="10" defaultColWidth="10.109375" defaultRowHeight="15.75" customHeight="1" x14ac:dyDescent="0.25"/>
  <cols>
    <col min="1" max="1" width="6.44140625" style="67" customWidth="1"/>
    <col min="2" max="2" width="4.88671875" style="52" customWidth="1"/>
    <col min="3" max="3" width="0.5546875" style="53" customWidth="1"/>
    <col min="4" max="4" width="25.109375" style="52" customWidth="1"/>
    <col min="5" max="5" width="11.88671875" style="52" customWidth="1"/>
    <col min="6" max="6" width="12.44140625" style="52" customWidth="1"/>
    <col min="7" max="7" width="13.44140625" style="90" customWidth="1"/>
    <col min="8" max="8" width="17.5546875" style="52" customWidth="1"/>
    <col min="9" max="9" width="3.44140625" style="58" hidden="1" customWidth="1"/>
    <col min="10" max="10" width="9.44140625" style="180" hidden="1" customWidth="1"/>
    <col min="11" max="11" width="8.44140625" style="47" hidden="1" customWidth="1"/>
    <col min="12" max="12" width="5.44140625" style="46" hidden="1" customWidth="1"/>
    <col min="13" max="13" width="25.5546875" style="46" hidden="1" customWidth="1"/>
    <col min="14" max="14" width="10.44140625" style="353" hidden="1" customWidth="1"/>
    <col min="15" max="15" width="6.44140625" style="46" hidden="1" customWidth="1"/>
    <col min="16" max="16" width="6.5546875" style="48" hidden="1" customWidth="1"/>
    <col min="17" max="18" width="28.109375" style="48" hidden="1" customWidth="1"/>
    <col min="19" max="19" width="28.109375" style="197" hidden="1" customWidth="1"/>
    <col min="20" max="20" width="4.44140625" style="46" hidden="1" customWidth="1"/>
    <col min="21" max="21" width="3.109375" style="46" hidden="1" customWidth="1"/>
    <col min="22" max="22" width="6.5546875" style="45" hidden="1" customWidth="1"/>
    <col min="23" max="23" width="5.5546875" style="32" hidden="1" customWidth="1"/>
    <col min="24" max="16384" width="10.109375" style="32"/>
  </cols>
  <sheetData>
    <row r="1" spans="1:23" ht="34.5" customHeight="1" thickBot="1" x14ac:dyDescent="0.3">
      <c r="A1" s="1363" t="s">
        <v>2524</v>
      </c>
      <c r="B1" s="1363"/>
      <c r="C1" s="1363"/>
      <c r="D1" s="1151"/>
      <c r="E1" s="626"/>
      <c r="I1" s="331"/>
      <c r="K1" s="352">
        <f>YEAR(E15)-2010</f>
        <v>14</v>
      </c>
      <c r="L1" s="48"/>
      <c r="M1" s="895">
        <v>2023</v>
      </c>
      <c r="N1" s="1360">
        <f>M1+1</f>
        <v>2024</v>
      </c>
      <c r="O1" s="1361"/>
      <c r="P1" s="1362"/>
      <c r="T1" s="49">
        <v>18</v>
      </c>
      <c r="U1" s="49">
        <v>0</v>
      </c>
      <c r="W1" s="339"/>
    </row>
    <row r="2" spans="1:23" ht="18" customHeight="1" thickTop="1" thickBot="1" x14ac:dyDescent="0.35">
      <c r="A2" s="1147"/>
      <c r="B2" s="1148" t="s">
        <v>724</v>
      </c>
      <c r="C2" s="674"/>
      <c r="D2" s="674"/>
      <c r="E2" s="674"/>
      <c r="F2" s="53"/>
      <c r="G2" s="154"/>
      <c r="H2" s="53"/>
      <c r="I2" s="331"/>
      <c r="K2" s="162">
        <f>K1+2010-J10</f>
        <v>39</v>
      </c>
      <c r="L2" s="351">
        <f>VLOOKUP(K2,T1:U92,2)</f>
        <v>3</v>
      </c>
      <c r="M2" s="49" t="s">
        <v>990</v>
      </c>
      <c r="N2" s="354"/>
      <c r="O2" s="48"/>
      <c r="T2" s="49">
        <v>19</v>
      </c>
      <c r="U2" s="49">
        <v>0</v>
      </c>
    </row>
    <row r="3" spans="1:23" ht="15.75" customHeight="1" thickTop="1" x14ac:dyDescent="0.25">
      <c r="A3" s="1147"/>
      <c r="B3" s="1149"/>
      <c r="C3" s="1150"/>
      <c r="D3" s="626"/>
      <c r="E3" s="626"/>
      <c r="I3" s="331"/>
      <c r="J3" s="208" t="str">
        <f>IF(E6="","",CONCATENATE(E6," "))</f>
        <v/>
      </c>
      <c r="K3" s="163">
        <v>2</v>
      </c>
      <c r="L3" s="164">
        <v>1</v>
      </c>
      <c r="M3" s="164" t="str">
        <f>Übersetzungen!D300</f>
        <v>Mann</v>
      </c>
      <c r="N3" s="355"/>
      <c r="O3" s="1127">
        <f>IF(E14&lt;2017,1,2)</f>
        <v>2</v>
      </c>
      <c r="P3" s="1124"/>
      <c r="Q3" s="1124"/>
      <c r="R3" s="165"/>
      <c r="S3" s="198"/>
      <c r="T3" s="49">
        <v>20</v>
      </c>
      <c r="U3" s="49">
        <v>1</v>
      </c>
    </row>
    <row r="4" spans="1:23" ht="15.75" customHeight="1" x14ac:dyDescent="0.25">
      <c r="A4" s="67" t="s">
        <v>971</v>
      </c>
      <c r="B4" s="456" t="str">
        <f>Übersetzungen!D251</f>
        <v>GRUNDDATEN</v>
      </c>
      <c r="C4" s="457"/>
      <c r="D4" s="458"/>
      <c r="E4" s="458"/>
      <c r="F4" s="458"/>
      <c r="G4" s="458"/>
      <c r="H4" s="458"/>
      <c r="I4" s="336"/>
      <c r="J4" s="471"/>
      <c r="L4" s="164">
        <v>2</v>
      </c>
      <c r="M4" s="164" t="str">
        <f>Übersetzungen!D301</f>
        <v>Frau</v>
      </c>
      <c r="N4" s="355"/>
      <c r="O4" s="165"/>
      <c r="P4" s="1124"/>
      <c r="Q4" s="1124"/>
      <c r="R4" s="165"/>
      <c r="S4" s="198"/>
      <c r="T4" s="49">
        <v>21</v>
      </c>
      <c r="U4" s="49">
        <v>1</v>
      </c>
    </row>
    <row r="5" spans="1:23" ht="11.25" customHeight="1" thickBot="1" x14ac:dyDescent="0.3">
      <c r="I5" s="331"/>
      <c r="J5" s="324" t="str">
        <f>CONCATENATE(J7," / ",J8)</f>
        <v>R40% / –</v>
      </c>
      <c r="K5" s="166">
        <v>2</v>
      </c>
      <c r="L5" s="167">
        <v>1</v>
      </c>
      <c r="M5" s="167" t="str">
        <f>Übersetzungen!D302</f>
        <v>Arbeitnehmer/in</v>
      </c>
      <c r="N5" s="356">
        <v>0</v>
      </c>
      <c r="O5" s="167" t="str">
        <f>Übersetzungen!D155</f>
        <v>AN</v>
      </c>
      <c r="P5" s="167"/>
      <c r="Q5" s="167" t="s">
        <v>1400</v>
      </c>
      <c r="R5" s="167"/>
      <c r="S5" s="204"/>
      <c r="T5" s="49">
        <v>22</v>
      </c>
      <c r="U5" s="49">
        <v>1</v>
      </c>
    </row>
    <row r="6" spans="1:23" ht="15.75" customHeight="1" thickTop="1" thickBot="1" x14ac:dyDescent="0.3">
      <c r="A6" s="340" t="s">
        <v>1403</v>
      </c>
      <c r="B6" s="54" t="str">
        <f>Übersetzungen!D252</f>
        <v>Bezeichnung (Andruck auf Outputs)</v>
      </c>
      <c r="C6" s="55"/>
      <c r="D6" s="54"/>
      <c r="E6" s="1366"/>
      <c r="F6" s="1367"/>
      <c r="G6" s="1367"/>
      <c r="I6" s="331"/>
      <c r="J6" s="325" t="str">
        <f>CONCATENATE(VLOOKUP(K9,L9:N13,3),"/",VLOOKUP(K15,L15:N17,3),"/",VLOOKUP(K18,L18:N22,3))</f>
        <v>L4/keine/keine</v>
      </c>
      <c r="K6" s="287">
        <f>IF(K5=2,1,IF(K5=3,2,IF(K5=4,3,1)))</f>
        <v>1</v>
      </c>
      <c r="L6" s="167">
        <v>2</v>
      </c>
      <c r="M6" s="167" t="str">
        <f>Übersetzungen!D303</f>
        <v>SE: Eintritt vor 50</v>
      </c>
      <c r="N6" s="356">
        <v>0</v>
      </c>
      <c r="O6" s="167" t="str">
        <f>Übersetzungen!D156</f>
        <v>SE&lt;50</v>
      </c>
      <c r="P6" s="167"/>
      <c r="Q6" s="167" t="s">
        <v>1400</v>
      </c>
      <c r="R6" s="167"/>
      <c r="S6" s="204"/>
      <c r="T6" s="49">
        <v>23</v>
      </c>
      <c r="U6" s="49">
        <v>1</v>
      </c>
      <c r="W6" s="626"/>
    </row>
    <row r="7" spans="1:23" ht="15.75" customHeight="1" thickTop="1" x14ac:dyDescent="0.25">
      <c r="A7" s="340" t="s">
        <v>1404</v>
      </c>
      <c r="B7" s="54" t="str">
        <f>Übersetzungen!D253</f>
        <v>Titel</v>
      </c>
      <c r="C7" s="55"/>
      <c r="D7" s="54"/>
      <c r="E7" s="1367"/>
      <c r="F7" s="1367"/>
      <c r="I7" s="331"/>
      <c r="J7" s="326" t="str">
        <f>VLOOKUP(K37,L37:Q50,6)</f>
        <v>R40%</v>
      </c>
      <c r="L7" s="167">
        <v>3</v>
      </c>
      <c r="M7" s="167" t="str">
        <f>Übersetzungen!D304</f>
        <v>SE: Eintritt ab 50</v>
      </c>
      <c r="N7" s="356">
        <v>5</v>
      </c>
      <c r="O7" s="167" t="str">
        <f>Übersetzungen!D157</f>
        <v>SE&gt;50_v</v>
      </c>
      <c r="P7" s="167"/>
      <c r="Q7" s="167" t="s">
        <v>3736</v>
      </c>
      <c r="R7" s="167"/>
      <c r="S7" s="204"/>
      <c r="T7" s="49">
        <v>24</v>
      </c>
      <c r="U7" s="49">
        <v>1</v>
      </c>
      <c r="W7" s="626"/>
    </row>
    <row r="8" spans="1:23" ht="15.75" customHeight="1" x14ac:dyDescent="0.25">
      <c r="A8" s="340" t="s">
        <v>1405</v>
      </c>
      <c r="B8" s="54" t="str">
        <f>Übersetzungen!D254</f>
        <v>Name</v>
      </c>
      <c r="C8" s="55"/>
      <c r="D8" s="54"/>
      <c r="E8" s="1366"/>
      <c r="F8" s="1367"/>
      <c r="G8" s="155"/>
      <c r="H8" s="143"/>
      <c r="I8" s="332"/>
      <c r="J8" s="327" t="str">
        <f>VLOOKUP(K53,L53:P58,5)</f>
        <v>–</v>
      </c>
      <c r="L8" s="167">
        <v>4</v>
      </c>
      <c r="M8" s="167" t="str">
        <f>Übersetzungen!D305</f>
        <v>SE: Eintritt ab 60</v>
      </c>
      <c r="N8" s="356">
        <v>5</v>
      </c>
      <c r="O8" s="167" t="str">
        <f>Übersetzungen!D158</f>
        <v>SE&gt;60</v>
      </c>
      <c r="P8" s="167"/>
      <c r="Q8" s="167" t="s">
        <v>3736</v>
      </c>
      <c r="R8" s="167"/>
      <c r="S8" s="204"/>
      <c r="T8" s="49">
        <v>25</v>
      </c>
      <c r="U8" s="49">
        <v>2</v>
      </c>
      <c r="W8" s="626"/>
    </row>
    <row r="9" spans="1:23" ht="15.75" customHeight="1" x14ac:dyDescent="0.2">
      <c r="A9" s="340" t="s">
        <v>1406</v>
      </c>
      <c r="B9" s="54" t="str">
        <f>Übersetzungen!D255</f>
        <v>Vorname</v>
      </c>
      <c r="C9" s="55"/>
      <c r="D9" s="54"/>
      <c r="E9" s="1366"/>
      <c r="F9" s="1367"/>
      <c r="G9" s="155"/>
      <c r="H9" s="143"/>
      <c r="I9" s="332"/>
      <c r="J9" s="153">
        <f>MONTH(E11)</f>
        <v>1</v>
      </c>
      <c r="K9" s="168">
        <v>4</v>
      </c>
      <c r="L9" s="169">
        <v>1</v>
      </c>
      <c r="M9" s="169" t="str">
        <f>Übersetzungen!D306</f>
        <v>L1 (BVG)</v>
      </c>
      <c r="N9" s="357" t="s">
        <v>986</v>
      </c>
      <c r="O9" s="169"/>
      <c r="P9" s="169"/>
      <c r="Q9" s="191" t="s">
        <v>1318</v>
      </c>
      <c r="R9" s="191"/>
      <c r="S9" s="199" t="s">
        <v>986</v>
      </c>
      <c r="T9" s="49">
        <v>26</v>
      </c>
      <c r="U9" s="49">
        <v>2</v>
      </c>
      <c r="W9" s="626"/>
    </row>
    <row r="10" spans="1:23" ht="15.75" customHeight="1" x14ac:dyDescent="0.2">
      <c r="A10" s="340" t="s">
        <v>1407</v>
      </c>
      <c r="B10" s="54" t="str">
        <f>Übersetzungen!D256</f>
        <v>AHV-Nummer</v>
      </c>
      <c r="C10" s="55"/>
      <c r="D10" s="54"/>
      <c r="E10" s="1366"/>
      <c r="F10" s="1367"/>
      <c r="G10" s="156"/>
      <c r="H10" s="144"/>
      <c r="I10" s="333"/>
      <c r="J10" s="170">
        <f>YEAR(E11)</f>
        <v>1985</v>
      </c>
      <c r="L10" s="169">
        <v>2</v>
      </c>
      <c r="M10" s="169" t="str">
        <f>Übersetzungen!D307</f>
        <v>L2 (BVG; nach BS-Grad)</v>
      </c>
      <c r="N10" s="357" t="s">
        <v>987</v>
      </c>
      <c r="O10" s="169"/>
      <c r="P10" s="169"/>
      <c r="Q10" s="191" t="s">
        <v>1317</v>
      </c>
      <c r="R10" s="191" t="str">
        <f>CONCATENATE("Koordinationsabzug versichert (gewählter Beschäftigungsgrad: ",E23*100,"%).")</f>
        <v>Koordinationsabzug versichert (gewählter Beschäftigungsgrad: 40%).</v>
      </c>
      <c r="S10" s="199" t="s">
        <v>987</v>
      </c>
      <c r="T10" s="49">
        <v>27</v>
      </c>
      <c r="U10" s="49">
        <v>2</v>
      </c>
      <c r="W10" s="626"/>
    </row>
    <row r="11" spans="1:23" ht="15.75" customHeight="1" x14ac:dyDescent="0.2">
      <c r="A11" s="340" t="s">
        <v>1408</v>
      </c>
      <c r="B11" s="54" t="str">
        <f>Übersetzungen!D257</f>
        <v>Geburtsdatum/Alter</v>
      </c>
      <c r="C11" s="55"/>
      <c r="D11" s="54"/>
      <c r="E11" s="937">
        <v>31048</v>
      </c>
      <c r="F11" s="54">
        <f>K2</f>
        <v>39</v>
      </c>
      <c r="G11" s="630" t="str">
        <f>IF(F11&lt;18,"   &lt;18!",IF(AND(Input!F11&gt;65,Input!K3=1),"   &gt;65!",(IF(AND(Input!F11&gt;64,Input!K3=2),"   &gt;64!",""))))</f>
        <v/>
      </c>
      <c r="H11" s="141"/>
      <c r="I11" s="334"/>
      <c r="J11" s="1257">
        <v>45657</v>
      </c>
      <c r="K11" s="887" t="s">
        <v>743</v>
      </c>
      <c r="L11" s="169">
        <v>3</v>
      </c>
      <c r="M11" s="169" t="str">
        <f>Übersetzungen!D308</f>
        <v>L3 (80% AHV-Lohn)</v>
      </c>
      <c r="N11" s="357" t="s">
        <v>988</v>
      </c>
      <c r="O11" s="169"/>
      <c r="P11" s="169"/>
      <c r="Q11" s="191" t="s">
        <v>1319</v>
      </c>
      <c r="R11" s="191" t="s">
        <v>1238</v>
      </c>
      <c r="S11" s="199" t="s">
        <v>988</v>
      </c>
      <c r="T11" s="49">
        <v>28</v>
      </c>
      <c r="U11" s="49">
        <v>2</v>
      </c>
      <c r="W11" s="626"/>
    </row>
    <row r="12" spans="1:23" ht="15.75" customHeight="1" x14ac:dyDescent="0.2">
      <c r="A12" s="340" t="s">
        <v>1409</v>
      </c>
      <c r="B12" s="54" t="str">
        <f>Übersetzungen!D258</f>
        <v>Geschlecht</v>
      </c>
      <c r="C12" s="55"/>
      <c r="D12" s="54"/>
      <c r="E12" s="344"/>
      <c r="F12" s="57"/>
      <c r="G12" s="309"/>
      <c r="H12" s="885"/>
      <c r="I12" s="334"/>
      <c r="J12" s="1254">
        <f>VLOOKUP(M1,Q65:R77,2)</f>
        <v>44927</v>
      </c>
      <c r="K12" s="887" t="s">
        <v>1643</v>
      </c>
      <c r="L12" s="169">
        <v>4</v>
      </c>
      <c r="M12" s="169" t="str">
        <f>Übersetzungen!D309</f>
        <v>L4 (AHV-Lohn)</v>
      </c>
      <c r="N12" s="357" t="s">
        <v>989</v>
      </c>
      <c r="O12" s="169"/>
      <c r="P12" s="169"/>
      <c r="Q12" s="191" t="s">
        <v>1320</v>
      </c>
      <c r="R12" s="191"/>
      <c r="S12" s="199" t="s">
        <v>989</v>
      </c>
      <c r="T12" s="49">
        <v>29</v>
      </c>
      <c r="U12" s="49">
        <v>2</v>
      </c>
    </row>
    <row r="13" spans="1:23" ht="15.75" customHeight="1" x14ac:dyDescent="0.2">
      <c r="A13" s="340" t="s">
        <v>1410</v>
      </c>
      <c r="B13" s="54" t="str">
        <f>Übersetzungen!D259</f>
        <v>Status/Alter bei PAT-Eintritt</v>
      </c>
      <c r="C13" s="55"/>
      <c r="D13" s="54"/>
      <c r="E13" s="56"/>
      <c r="F13" s="53"/>
      <c r="G13" s="221"/>
      <c r="H13" s="142"/>
      <c r="I13" s="335"/>
      <c r="J13" s="1255">
        <f>E15</f>
        <v>45292</v>
      </c>
      <c r="L13" s="169">
        <v>5</v>
      </c>
      <c r="M13" s="169" t="str">
        <f>Übersetzungen!D310</f>
        <v>L5 (1/2 Koordinationsabzug)</v>
      </c>
      <c r="N13" s="357" t="s">
        <v>1337</v>
      </c>
      <c r="O13" s="169"/>
      <c r="P13" s="169"/>
      <c r="Q13" s="191" t="s">
        <v>1338</v>
      </c>
      <c r="R13" s="191"/>
      <c r="S13" s="199" t="s">
        <v>1337</v>
      </c>
      <c r="T13" s="49">
        <v>30</v>
      </c>
      <c r="U13" s="49">
        <v>2</v>
      </c>
    </row>
    <row r="14" spans="1:23" ht="15.75" customHeight="1" x14ac:dyDescent="0.2">
      <c r="A14" s="990" t="s">
        <v>1219</v>
      </c>
      <c r="B14" s="54" t="str">
        <f>Übersetzungen!D260</f>
        <v>Eintrittsjahr in PAT-BVG</v>
      </c>
      <c r="C14" s="55"/>
      <c r="D14" s="54"/>
      <c r="E14" s="1126">
        <v>2024</v>
      </c>
      <c r="F14" s="1125" t="str">
        <f>IF(E14="","   bitte Jahr eingeben!","")</f>
        <v/>
      </c>
      <c r="G14" s="221"/>
      <c r="H14" s="142"/>
      <c r="I14" s="335"/>
      <c r="J14" s="488"/>
      <c r="L14" s="169"/>
      <c r="M14" s="169"/>
      <c r="N14" s="357"/>
      <c r="O14" s="169"/>
      <c r="P14" s="169"/>
      <c r="Q14" s="191"/>
      <c r="R14" s="191"/>
      <c r="S14" s="199"/>
      <c r="T14" s="49">
        <v>31</v>
      </c>
      <c r="U14" s="49">
        <v>2</v>
      </c>
    </row>
    <row r="15" spans="1:23" ht="15.75" customHeight="1" x14ac:dyDescent="0.2">
      <c r="A15" s="990" t="s">
        <v>2108</v>
      </c>
      <c r="B15" s="54" t="str">
        <f>Übersetzungen!D261</f>
        <v>Offerte per (Monatserster)</v>
      </c>
      <c r="C15" s="55"/>
      <c r="D15" s="54"/>
      <c r="E15" s="937">
        <v>45292</v>
      </c>
      <c r="F15" s="886" t="str">
        <f>IF(E15&lt;(J12-365),CONCATENATE("  nicht vor 1.1.",M1-1),IF(E15&gt;J11,CONCATENATE("  nicht nach 31.12.",YEAR(J11)),IF(E15="","",IF(DAY(E15)&lt;&gt;1,"  nur Monatserster",""))))</f>
        <v/>
      </c>
      <c r="G15" s="221"/>
      <c r="H15" s="487"/>
      <c r="I15" s="335"/>
      <c r="J15" s="768">
        <f>YEAR(E15)</f>
        <v>2024</v>
      </c>
      <c r="K15" s="168">
        <v>2</v>
      </c>
      <c r="L15" s="169">
        <v>1</v>
      </c>
      <c r="M15" s="169" t="str">
        <f>IF(K9=2,Übersetzungen!D313,Übersetzungen!D311)</f>
        <v>gemäss BVG (22'050 Fr.)</v>
      </c>
      <c r="N15" s="358" t="s">
        <v>1034</v>
      </c>
      <c r="O15" s="169"/>
      <c r="P15" s="169"/>
      <c r="Q15" s="191" t="e">
        <f>CONCATENATE("Die gewählte Eintrittsschwelle liegt bei ",TEXT(VLOOKUP(1,Beitrag!V5:AE12,Input!K1+1),"#'###")," Franken. ")</f>
        <v>#REF!</v>
      </c>
      <c r="R15" s="191"/>
      <c r="S15" s="200" t="s">
        <v>1131</v>
      </c>
      <c r="T15" s="49">
        <v>32</v>
      </c>
      <c r="U15" s="49">
        <v>2</v>
      </c>
      <c r="W15" s="626"/>
    </row>
    <row r="16" spans="1:23" ht="15.75" customHeight="1" x14ac:dyDescent="0.2">
      <c r="B16" s="57"/>
      <c r="C16" s="58"/>
      <c r="D16" s="57"/>
      <c r="E16" s="58"/>
      <c r="G16" s="157"/>
      <c r="I16" s="331"/>
      <c r="K16" s="168"/>
      <c r="L16" s="169">
        <v>2</v>
      </c>
      <c r="M16" s="169" t="str">
        <f>Übersetzungen!D312</f>
        <v>keine Eintrittsschwelle</v>
      </c>
      <c r="N16" s="357" t="s">
        <v>1081</v>
      </c>
      <c r="O16" s="169"/>
      <c r="P16" s="169"/>
      <c r="Q16" s="191" t="s">
        <v>2514</v>
      </c>
      <c r="R16" s="191"/>
      <c r="S16" s="200" t="s">
        <v>1130</v>
      </c>
      <c r="T16" s="49">
        <v>33</v>
      </c>
      <c r="U16" s="49">
        <v>2</v>
      </c>
    </row>
    <row r="17" spans="1:23" ht="15.75" customHeight="1" x14ac:dyDescent="0.25">
      <c r="A17" s="67" t="s">
        <v>1322</v>
      </c>
      <c r="B17" s="456" t="str">
        <f>Übersetzungen!D262</f>
        <v>VERSICHERTER LOHN</v>
      </c>
      <c r="C17" s="456"/>
      <c r="D17" s="459"/>
      <c r="E17" s="459"/>
      <c r="F17" s="459"/>
      <c r="G17" s="459"/>
      <c r="H17" s="460" t="str">
        <f>IF(YEAR(E15)&gt;M1,"provisorische Grenzwerte","")</f>
        <v>provisorische Grenzwerte</v>
      </c>
      <c r="I17" s="338"/>
      <c r="L17" s="169">
        <v>3</v>
      </c>
      <c r="M17" s="171" t="str">
        <f>IF(K9=2,Übersetzungen!D314,"")</f>
        <v/>
      </c>
      <c r="N17" s="358" t="s">
        <v>1034</v>
      </c>
      <c r="O17" s="169"/>
      <c r="P17" s="169"/>
      <c r="Q17" s="169" t="e">
        <f>CONCATENATE("Die gewählte Eintrittsschwelle liegt bei ",TEXT(VLOOKUP(1,Beitrag!V5:AE12,Input!K1+1),"#'###")," Franken. ")</f>
        <v>#REF!</v>
      </c>
      <c r="R17" s="169"/>
      <c r="S17" s="200" t="s">
        <v>1131</v>
      </c>
      <c r="T17" s="49">
        <v>34</v>
      </c>
      <c r="U17" s="49">
        <v>2</v>
      </c>
    </row>
    <row r="18" spans="1:23" ht="10.5" customHeight="1" x14ac:dyDescent="0.2">
      <c r="I18" s="331"/>
      <c r="K18" s="168">
        <v>3</v>
      </c>
      <c r="L18" s="169">
        <v>1</v>
      </c>
      <c r="M18" s="171" t="str">
        <f>IF(K9=5,"",Übersetzungen!D315)</f>
        <v>gemäss BVG (62'475 Fr.)</v>
      </c>
      <c r="N18" s="359" t="s">
        <v>1034</v>
      </c>
      <c r="O18" s="169"/>
      <c r="P18" s="169"/>
      <c r="Q18" s="191" t="e">
        <f>CONCATENATE("Versichert sind gemäss Wahl maximal ",TEXT(VLOOKUP(6,Beitrag!V5:AE12,Input!K1+1),"#'##0")," Franken.")</f>
        <v>#REF!</v>
      </c>
      <c r="R18" s="191"/>
      <c r="S18" s="200" t="s">
        <v>1034</v>
      </c>
      <c r="T18" s="49">
        <v>35</v>
      </c>
      <c r="U18" s="49">
        <v>3</v>
      </c>
    </row>
    <row r="19" spans="1:23" ht="15.75" customHeight="1" x14ac:dyDescent="0.25">
      <c r="A19" s="340" t="s">
        <v>1411</v>
      </c>
      <c r="B19" s="54" t="str">
        <f>Übersetzungen!D263</f>
        <v>AHV-pflichtiger Jahreslohn</v>
      </c>
      <c r="C19" s="55"/>
      <c r="D19" s="54"/>
      <c r="E19" s="938">
        <v>100000</v>
      </c>
      <c r="F19" s="694" t="str">
        <f>IF(AND(E19&lt;J19,K37=1),"&lt; Eintrittsschwelle = R1 nicht möglich!","")</f>
        <v/>
      </c>
      <c r="H19" s="684"/>
      <c r="I19" s="331"/>
      <c r="J19" s="693">
        <f>VLOOKUP(1,Beitrag!V5:AE5,Beitrag!V4-2014)</f>
        <v>22050</v>
      </c>
      <c r="L19" s="169">
        <v>2</v>
      </c>
      <c r="M19" s="171" t="str">
        <f>IF(K9=5,"",Übersetzungen!D316)</f>
        <v>gemäss UVG (148'200 Fr.)</v>
      </c>
      <c r="N19" s="359" t="s">
        <v>1132</v>
      </c>
      <c r="O19" s="169"/>
      <c r="P19" s="169"/>
      <c r="Q19" s="169" t="e">
        <f>CONCATENATE("Versichert sind gemäss Wahl maximal ",TEXT(VLOOKUP(8,Beitrag!V5:AE12,Input!K1+1),"#'##0")," Franken.")</f>
        <v>#REF!</v>
      </c>
      <c r="R19" s="169"/>
      <c r="S19" s="200" t="s">
        <v>1132</v>
      </c>
      <c r="T19" s="49">
        <v>36</v>
      </c>
      <c r="U19" s="49">
        <v>3</v>
      </c>
      <c r="W19" s="626"/>
    </row>
    <row r="20" spans="1:23" ht="15.75" customHeight="1" x14ac:dyDescent="0.25">
      <c r="A20" s="340" t="s">
        <v>1412</v>
      </c>
      <c r="B20" s="462" t="s">
        <v>983</v>
      </c>
      <c r="C20" s="55"/>
      <c r="D20" s="55" t="str">
        <f>Übersetzungen!D264</f>
        <v>Lohnmodul</v>
      </c>
      <c r="H20" s="683"/>
      <c r="I20" s="331"/>
      <c r="L20" s="169">
        <v>3</v>
      </c>
      <c r="M20" s="1139" t="str">
        <f>Übersetzungen!D317</f>
        <v>ohne Plafond</v>
      </c>
      <c r="N20" s="1136" t="s">
        <v>1081</v>
      </c>
      <c r="O20" s="169"/>
      <c r="P20" s="169"/>
      <c r="Q20" s="169" t="s">
        <v>2514</v>
      </c>
      <c r="R20" s="169"/>
      <c r="S20" s="1137" t="s">
        <v>1081</v>
      </c>
      <c r="T20" s="49">
        <v>37</v>
      </c>
      <c r="U20" s="49">
        <v>3</v>
      </c>
    </row>
    <row r="21" spans="1:23" ht="15.75" customHeight="1" x14ac:dyDescent="0.25">
      <c r="A21" s="340" t="s">
        <v>1413</v>
      </c>
      <c r="B21" s="55" t="str">
        <f>Übersetzungen!D265</f>
        <v>Eintrittsschwelle</v>
      </c>
      <c r="C21" s="55"/>
      <c r="D21" s="55"/>
      <c r="F21" s="59"/>
      <c r="G21" s="574" t="str">
        <f>IF(K9=5,Übersetzungen!D329,"")</f>
        <v/>
      </c>
      <c r="H21" s="684"/>
      <c r="I21" s="331"/>
      <c r="L21" s="169">
        <v>4</v>
      </c>
      <c r="M21" s="171" t="str">
        <f>IF(K9=5,"",Übersetzungen!D318)</f>
        <v>gemäss SIFO (132'300 Fr.)</v>
      </c>
      <c r="N21" s="1136" t="s">
        <v>2515</v>
      </c>
      <c r="O21" s="169"/>
      <c r="P21" s="169"/>
      <c r="Q21" s="169" t="e">
        <f>CONCATENATE("Versichert sind gemäss Wahl maximal ",TEXT(VLOOKUP(9,Beitrag!V5:AE13,Input!K1+1),"#'##0")," Franken.")</f>
        <v>#REF!</v>
      </c>
      <c r="R21" s="169"/>
      <c r="S21" s="1137" t="s">
        <v>2515</v>
      </c>
      <c r="T21" s="49">
        <v>38</v>
      </c>
      <c r="U21" s="49">
        <v>3</v>
      </c>
    </row>
    <row r="22" spans="1:23" ht="15.75" customHeight="1" x14ac:dyDescent="0.25">
      <c r="A22" s="340" t="s">
        <v>1414</v>
      </c>
      <c r="B22" s="55" t="str">
        <f>Übersetzungen!D266</f>
        <v>Plafond</v>
      </c>
      <c r="C22" s="55"/>
      <c r="D22" s="55"/>
      <c r="G22" s="574" t="str">
        <f>IF(K9=5,Übersetzungen!D330,"")</f>
        <v/>
      </c>
      <c r="H22" s="683"/>
      <c r="I22" s="331"/>
      <c r="L22" s="169">
        <v>5</v>
      </c>
      <c r="M22" s="171" t="str">
        <f>IF(K9=5,"",Übersetzungen!D319)</f>
        <v>300% AHVmax (88'200 Fr.)</v>
      </c>
      <c r="N22" s="1136" t="s">
        <v>2516</v>
      </c>
      <c r="O22" s="169"/>
      <c r="P22" s="169"/>
      <c r="Q22" s="169" t="e">
        <f>CONCATENATE("Versichert sind gemäss Wahl maximal ",TEXT(VLOOKUP(5,Beitrag!V5:AE13,Input!K1+1),"#'##0")," Franken.")</f>
        <v>#REF!</v>
      </c>
      <c r="R22" s="169"/>
      <c r="S22" s="1137" t="s">
        <v>2516</v>
      </c>
      <c r="T22" s="49">
        <v>39</v>
      </c>
      <c r="U22" s="49">
        <v>3</v>
      </c>
    </row>
    <row r="23" spans="1:23" ht="15.75" customHeight="1" x14ac:dyDescent="0.25">
      <c r="A23" s="340" t="str">
        <f>IF(K9=2,"B.5","")</f>
        <v/>
      </c>
      <c r="B23" s="60" t="str">
        <f>IF(K9=2,Übersetzungen!D267,"")</f>
        <v/>
      </c>
      <c r="C23" s="60"/>
      <c r="D23" s="60"/>
      <c r="E23" s="342">
        <v>0.4</v>
      </c>
      <c r="G23" s="86"/>
      <c r="H23" s="684"/>
      <c r="I23" s="331"/>
      <c r="L23" s="169">
        <v>6</v>
      </c>
      <c r="M23" s="171" t="str">
        <f>IF(K9=5,"",Übersetzungen!D320)</f>
        <v>gemäss SIFO ./. KA (106'575 Fr.)</v>
      </c>
      <c r="N23" s="1136" t="s">
        <v>3853</v>
      </c>
      <c r="O23" s="169"/>
      <c r="P23" s="169"/>
      <c r="Q23" s="169"/>
      <c r="R23" s="169"/>
      <c r="S23" s="1137"/>
      <c r="T23" s="49"/>
      <c r="U23" s="49"/>
    </row>
    <row r="24" spans="1:23" ht="15.75" customHeight="1" x14ac:dyDescent="0.25">
      <c r="A24" s="340"/>
      <c r="B24" s="63" t="str">
        <f>Übersetzungen!D268</f>
        <v>versicherter Lohn</v>
      </c>
      <c r="C24" s="63"/>
      <c r="D24" s="63"/>
      <c r="E24" s="484">
        <f>IF(OR(K9=2,K9=5),VLOOKUP(Wertebereich!$V$17,Beitrag!A38:B59,2,FALSE),IF(AND(K15=1,K18=1),VLOOKUP(K9,Beitrag!B6:P10,9),IF(AND(K15=1,K18=2),VLOOKUP(K9,Beitrag!B6:P10,10),IF(AND(K15=1,K18=3),VLOOKUP(K9,Beitrag!B6:P10,11),IF(AND(K15=1,K18=4),VLOOKUP(K9,Beitrag!B6:P10,12),IF(AND(K15=1,K18=5),VLOOKUP(K9,Beitrag!B6:P10,13),IF(AND(K15=1,K18=6),VLOOKUP(K9,Beitrag!B6:P10,14),IF(AND(K15=1,K18=7),VLOOKUP(K9,Beitrag!B6:P10,15),IF(AND(K15=2,K18=1),VLOOKUP(K9,Beitrag!B6:P10,2),IF(AND(K15=2,K18=2),VLOOKUP(K9,Beitrag!B6:P10,3),IF(AND(K15=2,K18=3),VLOOKUP(K9,Beitrag!B6:P10,4),IF(AND(K15=2,K18=4),VLOOKUP(K9,Beitrag!B6:P10,5),IF(AND(K15=2,K18=5),VLOOKUP(K9,Beitrag!B6:P10,6),IF(AND(K15=2,K18=6),VLOOKUP(K9,Beitrag!B6:P10,7),IF(AND(K15=2,K18=7),VLOOKUP(K9,Beitrag!B6:P10,8),"Fehler")))))))))))))))</f>
        <v>100000</v>
      </c>
      <c r="F24" s="62"/>
      <c r="G24" s="158"/>
      <c r="H24" s="683"/>
      <c r="I24" s="331"/>
      <c r="L24" s="169">
        <v>7</v>
      </c>
      <c r="M24" s="171" t="str">
        <f>IF(K9=5,"",Übersetzungen!D321)</f>
        <v>200% UVGmax (296'400 Fr.)</v>
      </c>
      <c r="N24" s="1136" t="s">
        <v>3854</v>
      </c>
      <c r="O24" s="169"/>
      <c r="P24" s="169"/>
      <c r="Q24" s="169"/>
      <c r="R24" s="169"/>
      <c r="S24" s="1137"/>
      <c r="T24" s="49"/>
      <c r="U24" s="49"/>
    </row>
    <row r="25" spans="1:23" ht="15.75" customHeight="1" x14ac:dyDescent="0.25">
      <c r="B25" s="58"/>
      <c r="C25" s="58"/>
      <c r="D25" s="58"/>
      <c r="E25" s="61"/>
      <c r="F25" s="62"/>
      <c r="G25" s="158"/>
      <c r="I25" s="331"/>
      <c r="K25" s="172">
        <v>1</v>
      </c>
      <c r="L25" s="173">
        <v>1</v>
      </c>
      <c r="M25" s="173" t="s">
        <v>1171</v>
      </c>
      <c r="N25" s="360">
        <v>1</v>
      </c>
      <c r="O25" s="173"/>
      <c r="P25" s="173"/>
      <c r="Q25" s="173" t="s">
        <v>1242</v>
      </c>
      <c r="R25" s="173"/>
      <c r="S25" s="201" t="s">
        <v>965</v>
      </c>
      <c r="T25" s="49">
        <v>40</v>
      </c>
      <c r="U25" s="49">
        <v>3</v>
      </c>
    </row>
    <row r="26" spans="1:23" ht="15.75" customHeight="1" x14ac:dyDescent="0.25">
      <c r="A26" s="67" t="s">
        <v>1324</v>
      </c>
      <c r="B26" s="456" t="str">
        <f>Übersetzungen!D269</f>
        <v>MODULE</v>
      </c>
      <c r="C26" s="457"/>
      <c r="D26" s="458"/>
      <c r="E26" s="458"/>
      <c r="F26" s="458"/>
      <c r="G26" s="458"/>
      <c r="H26" s="458"/>
      <c r="I26" s="336"/>
      <c r="L26" s="173">
        <v>2</v>
      </c>
      <c r="M26" s="173" t="s">
        <v>1172</v>
      </c>
      <c r="N26" s="360">
        <v>2</v>
      </c>
      <c r="O26" s="173"/>
      <c r="P26" s="173"/>
      <c r="Q26" s="173" t="s">
        <v>1243</v>
      </c>
      <c r="R26" s="173"/>
      <c r="S26" s="201" t="s">
        <v>966</v>
      </c>
      <c r="T26" s="49">
        <v>41</v>
      </c>
      <c r="U26" s="49">
        <v>3</v>
      </c>
    </row>
    <row r="27" spans="1:23" ht="10.5" customHeight="1" x14ac:dyDescent="0.25">
      <c r="I27" s="331"/>
      <c r="L27" s="173">
        <v>3</v>
      </c>
      <c r="M27" s="173" t="s">
        <v>1173</v>
      </c>
      <c r="N27" s="360">
        <v>3</v>
      </c>
      <c r="O27" s="173"/>
      <c r="P27" s="173"/>
      <c r="Q27" s="173" t="s">
        <v>1244</v>
      </c>
      <c r="R27" s="173"/>
      <c r="S27" s="201" t="s">
        <v>967</v>
      </c>
      <c r="T27" s="49">
        <v>42</v>
      </c>
      <c r="U27" s="49">
        <v>3</v>
      </c>
    </row>
    <row r="28" spans="1:23" ht="15.75" customHeight="1" x14ac:dyDescent="0.25">
      <c r="A28" s="340" t="s">
        <v>1415</v>
      </c>
      <c r="B28" s="463" t="s">
        <v>971</v>
      </c>
      <c r="C28" s="55"/>
      <c r="D28" s="55" t="str">
        <f>Übersetzungen!D270</f>
        <v>Altersvorsorge</v>
      </c>
      <c r="G28" s="55" t="str">
        <f>Übersetzungen!D276</f>
        <v xml:space="preserve">      Sparen ab</v>
      </c>
      <c r="H28" s="53"/>
      <c r="I28" s="331"/>
      <c r="L28" s="173">
        <v>4</v>
      </c>
      <c r="M28" s="173" t="s">
        <v>1174</v>
      </c>
      <c r="N28" s="360">
        <v>4</v>
      </c>
      <c r="O28" s="173"/>
      <c r="P28" s="173"/>
      <c r="Q28" s="173" t="s">
        <v>1245</v>
      </c>
      <c r="R28" s="173"/>
      <c r="S28" s="201" t="s">
        <v>968</v>
      </c>
      <c r="T28" s="49">
        <v>43</v>
      </c>
      <c r="U28" s="49">
        <v>3</v>
      </c>
    </row>
    <row r="29" spans="1:23" ht="15.75" customHeight="1" x14ac:dyDescent="0.25">
      <c r="A29" s="340" t="s">
        <v>1416</v>
      </c>
      <c r="B29" s="464" t="s">
        <v>972</v>
      </c>
      <c r="C29" s="55"/>
      <c r="D29" s="55" t="str">
        <f>Übersetzungen!D271</f>
        <v>Zusatzsparen</v>
      </c>
      <c r="G29" s="154"/>
      <c r="H29" s="770" t="str">
        <f>IF(J15&gt;(J10+24),"(unbeachtlich)","")</f>
        <v>(unbeachtlich)</v>
      </c>
      <c r="I29" s="331"/>
      <c r="L29" s="173">
        <v>5</v>
      </c>
      <c r="M29" s="173" t="s">
        <v>1175</v>
      </c>
      <c r="N29" s="360">
        <v>5</v>
      </c>
      <c r="O29" s="173"/>
      <c r="P29" s="173"/>
      <c r="Q29" s="173" t="s">
        <v>1246</v>
      </c>
      <c r="R29" s="173"/>
      <c r="S29" s="201" t="s">
        <v>969</v>
      </c>
      <c r="T29" s="49">
        <v>44</v>
      </c>
      <c r="U29" s="49">
        <v>3</v>
      </c>
    </row>
    <row r="30" spans="1:23" ht="15.75" customHeight="1" x14ac:dyDescent="0.25">
      <c r="A30" s="340" t="s">
        <v>1417</v>
      </c>
      <c r="B30" s="465" t="s">
        <v>976</v>
      </c>
      <c r="C30" s="55"/>
      <c r="D30" s="55" t="str">
        <f>Übersetzungen!D272</f>
        <v>Risikoversicherung</v>
      </c>
      <c r="G30" s="655" t="str">
        <f>IF(E24&lt;J31,CONCATENATE(Übersetzungen!D328,LEFT(J31,3),"'000 Fr.!"),"")</f>
        <v/>
      </c>
      <c r="H30" s="53"/>
      <c r="I30" s="331"/>
      <c r="L30" s="173">
        <v>6</v>
      </c>
      <c r="M30" s="173" t="s">
        <v>2194</v>
      </c>
      <c r="N30" s="360">
        <v>6</v>
      </c>
      <c r="O30" s="173"/>
      <c r="P30" s="173"/>
      <c r="Q30" s="1138" t="s">
        <v>2517</v>
      </c>
      <c r="R30" s="173"/>
      <c r="S30" s="201" t="s">
        <v>2186</v>
      </c>
      <c r="T30" s="49">
        <v>45</v>
      </c>
      <c r="U30" s="49">
        <v>4</v>
      </c>
    </row>
    <row r="31" spans="1:23" ht="15.75" customHeight="1" x14ac:dyDescent="0.25">
      <c r="A31" s="340" t="s">
        <v>1418</v>
      </c>
      <c r="B31" s="466"/>
      <c r="C31" s="55"/>
      <c r="D31" s="55" t="str">
        <f>Übersetzungen!D273</f>
        <v>Wartefrist</v>
      </c>
      <c r="G31" s="154"/>
      <c r="H31" s="53"/>
      <c r="I31" s="331"/>
      <c r="J31" s="153">
        <f>VLOOKUP(K37,L37:P48,5)</f>
        <v>0</v>
      </c>
      <c r="L31" s="173">
        <v>7</v>
      </c>
      <c r="M31" s="173" t="s">
        <v>2195</v>
      </c>
      <c r="N31" s="360">
        <v>7</v>
      </c>
      <c r="O31" s="173"/>
      <c r="P31" s="173"/>
      <c r="Q31" s="1138" t="s">
        <v>2518</v>
      </c>
      <c r="R31" s="173"/>
      <c r="S31" s="201" t="s">
        <v>2187</v>
      </c>
      <c r="T31" s="49">
        <v>46</v>
      </c>
      <c r="U31" s="49">
        <v>4</v>
      </c>
    </row>
    <row r="32" spans="1:23" ht="15.75" customHeight="1" x14ac:dyDescent="0.25">
      <c r="A32" s="340" t="s">
        <v>1419</v>
      </c>
      <c r="B32" s="467" t="s">
        <v>978</v>
      </c>
      <c r="C32" s="55"/>
      <c r="D32" s="55" t="str">
        <f>Übersetzungen!D274</f>
        <v>Todesfallkapital</v>
      </c>
      <c r="G32" s="154"/>
      <c r="H32" s="656"/>
      <c r="I32" s="331"/>
      <c r="J32" s="889">
        <v>3</v>
      </c>
      <c r="K32" s="181">
        <f>VLOOKUP(J32,J33:K35,2)</f>
        <v>25</v>
      </c>
      <c r="L32" s="173">
        <v>8</v>
      </c>
      <c r="M32" s="173" t="str">
        <f>IF($K$9&lt;&gt;4,Übersetzungen!D42,IF(AND(Input!K9=4,Input!K18=1),Übersetzungen!D42,IF(AND(Input!K9=4,Input!K18=5),Übersetzungen!D42,"A8 (5/7/10/12%)")))</f>
        <v>A8 (5/7/10/12%)</v>
      </c>
      <c r="N32" s="360">
        <v>8</v>
      </c>
      <c r="O32" s="173"/>
      <c r="P32" s="173"/>
      <c r="Q32" s="1138" t="s">
        <v>2519</v>
      </c>
      <c r="R32" s="173"/>
      <c r="S32" s="201" t="s">
        <v>1618</v>
      </c>
      <c r="T32" s="49">
        <v>47</v>
      </c>
      <c r="U32" s="49">
        <v>4</v>
      </c>
    </row>
    <row r="33" spans="1:23" ht="35.25" customHeight="1" x14ac:dyDescent="0.25">
      <c r="A33" s="340"/>
      <c r="B33" s="1372" t="str">
        <f>IF(AND(K25=5,K36=1,K9=4,E19&lt;110000),Übersetzungen!D331,IF(AND(K25=5,K36=3,K9=4,E19&lt;146000),Übersetzungen!D332,IF(AND(K25=5,K36=2,K9=4,E19&lt;130000),Übersetzungen!D333,"")))</f>
        <v/>
      </c>
      <c r="C33" s="1372"/>
      <c r="D33" s="1372"/>
      <c r="E33" s="1372"/>
      <c r="F33" s="1372"/>
      <c r="G33" s="1372"/>
      <c r="H33" s="1372"/>
      <c r="I33" s="331"/>
      <c r="J33" s="767">
        <v>1</v>
      </c>
      <c r="K33" s="181">
        <v>18</v>
      </c>
      <c r="L33" s="173">
        <v>9</v>
      </c>
      <c r="M33" s="173" t="str">
        <f>IF($K$9&lt;&gt;4,Übersetzungen!D43,IF(AND(Input!K9=4,Input!K18=1),Übersetzungen!D43,"A9 (6/8/11/13%)"))</f>
        <v>A9 (6/8/11/13%)</v>
      </c>
      <c r="N33" s="360">
        <v>9</v>
      </c>
      <c r="O33" s="173"/>
      <c r="P33" s="173"/>
      <c r="Q33" s="1138" t="s">
        <v>2520</v>
      </c>
      <c r="R33" s="173"/>
      <c r="S33" s="201" t="s">
        <v>2188</v>
      </c>
      <c r="T33" s="49">
        <v>48</v>
      </c>
      <c r="U33" s="49">
        <v>4</v>
      </c>
    </row>
    <row r="34" spans="1:23" ht="15.75" hidden="1" customHeight="1" x14ac:dyDescent="0.25">
      <c r="B34" s="50"/>
      <c r="C34" s="51"/>
      <c r="G34" s="154"/>
      <c r="H34" s="53"/>
      <c r="I34" s="331"/>
      <c r="J34" s="767">
        <v>2</v>
      </c>
      <c r="K34" s="181">
        <v>20</v>
      </c>
      <c r="L34" s="175">
        <v>1</v>
      </c>
      <c r="M34" s="175" t="str">
        <f>Übersetzungen!D322</f>
        <v>kein Zusatzsparen</v>
      </c>
      <c r="N34" s="361">
        <v>0</v>
      </c>
      <c r="O34" s="175"/>
      <c r="P34" s="175"/>
      <c r="Q34" s="175" t="s">
        <v>1239</v>
      </c>
      <c r="R34" s="175"/>
      <c r="S34" s="202" t="s">
        <v>1091</v>
      </c>
      <c r="T34" s="49">
        <v>49</v>
      </c>
      <c r="U34" s="49">
        <v>4</v>
      </c>
    </row>
    <row r="35" spans="1:23" ht="15.75" customHeight="1" x14ac:dyDescent="0.25">
      <c r="A35" s="67" t="s">
        <v>1325</v>
      </c>
      <c r="B35" s="456" t="str">
        <f>Übersetzungen!D277</f>
        <v>BEITRÄGE</v>
      </c>
      <c r="C35" s="457"/>
      <c r="D35" s="458"/>
      <c r="E35" s="458"/>
      <c r="F35" s="458"/>
      <c r="G35" s="458"/>
      <c r="H35" s="458"/>
      <c r="I35" s="336"/>
      <c r="J35" s="767">
        <v>3</v>
      </c>
      <c r="K35" s="181">
        <v>25</v>
      </c>
      <c r="L35" s="175">
        <v>2</v>
      </c>
      <c r="M35" s="175" t="s">
        <v>1177</v>
      </c>
      <c r="N35" s="361">
        <v>1</v>
      </c>
      <c r="O35" s="175"/>
      <c r="P35" s="175"/>
      <c r="Q35" s="175" t="s">
        <v>1240</v>
      </c>
      <c r="R35" s="175"/>
      <c r="S35" s="202" t="s">
        <v>974</v>
      </c>
      <c r="T35" s="49">
        <v>50</v>
      </c>
      <c r="U35" s="49">
        <v>4</v>
      </c>
      <c r="V35" s="177" t="s">
        <v>980</v>
      </c>
    </row>
    <row r="36" spans="1:23" ht="10.5" customHeight="1" thickBot="1" x14ac:dyDescent="0.3">
      <c r="A36" s="161"/>
      <c r="B36" s="65"/>
      <c r="C36" s="65"/>
      <c r="D36" s="66"/>
      <c r="E36" s="66"/>
      <c r="F36" s="66"/>
      <c r="G36" s="159"/>
      <c r="H36" s="66"/>
      <c r="I36" s="337"/>
      <c r="J36" s="347">
        <f>(F38+F39)/96*100-(F38+F39)</f>
        <v>416.66666666666788</v>
      </c>
      <c r="K36" s="174">
        <v>1</v>
      </c>
      <c r="L36" s="175">
        <v>3</v>
      </c>
      <c r="M36" s="175" t="s">
        <v>1178</v>
      </c>
      <c r="N36" s="361">
        <v>2</v>
      </c>
      <c r="O36" s="175"/>
      <c r="P36" s="175"/>
      <c r="Q36" s="175" t="s">
        <v>1241</v>
      </c>
      <c r="R36" s="175"/>
      <c r="S36" s="202" t="s">
        <v>975</v>
      </c>
      <c r="T36" s="49">
        <v>51</v>
      </c>
      <c r="U36" s="49">
        <v>4</v>
      </c>
      <c r="V36" s="177" t="s">
        <v>1662</v>
      </c>
    </row>
    <row r="37" spans="1:23" ht="15.75" hidden="1" customHeight="1" x14ac:dyDescent="0.25">
      <c r="B37" s="51"/>
      <c r="C37" s="51"/>
      <c r="D37" s="53"/>
      <c r="E37" s="87" t="s">
        <v>1005</v>
      </c>
      <c r="F37" s="87" t="s">
        <v>1099</v>
      </c>
      <c r="G37" s="160" t="s">
        <v>1098</v>
      </c>
      <c r="H37" s="53"/>
      <c r="J37" s="348">
        <f>100/(F46-192)*(F40+F41+F42+F43+J38)</f>
        <v>3.7673297166968163</v>
      </c>
      <c r="K37" s="176">
        <v>8</v>
      </c>
      <c r="L37" s="177">
        <v>1</v>
      </c>
      <c r="M37" s="177" t="str">
        <f>Übersetzungen!D323</f>
        <v>R1 (gemäss BVG)</v>
      </c>
      <c r="N37" s="362">
        <v>1</v>
      </c>
      <c r="O37" s="177" t="s">
        <v>1034</v>
      </c>
      <c r="P37" s="177">
        <v>0</v>
      </c>
      <c r="Q37" s="193" t="s">
        <v>1199</v>
      </c>
      <c r="R37" s="193" t="s">
        <v>1307</v>
      </c>
      <c r="S37" s="193" t="s">
        <v>1199</v>
      </c>
      <c r="T37" s="49">
        <v>52</v>
      </c>
      <c r="U37" s="49">
        <v>4</v>
      </c>
      <c r="V37" s="177" t="s">
        <v>1663</v>
      </c>
    </row>
    <row r="38" spans="1:23" ht="15.75" hidden="1" customHeight="1" x14ac:dyDescent="0.25">
      <c r="A38" s="340"/>
      <c r="B38" s="463" t="s">
        <v>971</v>
      </c>
      <c r="C38" s="55"/>
      <c r="D38" s="55" t="s">
        <v>1007</v>
      </c>
      <c r="E38" s="88">
        <f>VLOOKUP(L2,Beitrag!B18:AT23,K25+1)/100</f>
        <v>0.1</v>
      </c>
      <c r="F38" s="69">
        <f>$E$24*E38</f>
        <v>10000</v>
      </c>
      <c r="G38" s="69">
        <f>F38/12</f>
        <v>833.33333333333337</v>
      </c>
      <c r="I38" s="329"/>
      <c r="J38" s="349">
        <f>J36-(SUM(F40:F43))</f>
        <v>-643.33333333333212</v>
      </c>
      <c r="K38" s="184"/>
      <c r="L38" s="177">
        <v>2</v>
      </c>
      <c r="M38" s="177" t="s">
        <v>1180</v>
      </c>
      <c r="N38" s="362">
        <v>2</v>
      </c>
      <c r="O38" s="178" t="s">
        <v>1062</v>
      </c>
      <c r="P38" s="179">
        <v>200000</v>
      </c>
      <c r="Q38" s="193" t="s">
        <v>1200</v>
      </c>
      <c r="R38" s="193" t="s">
        <v>1254</v>
      </c>
      <c r="S38" s="193" t="s">
        <v>1800</v>
      </c>
      <c r="T38" s="49">
        <v>53</v>
      </c>
      <c r="U38" s="49">
        <v>4</v>
      </c>
      <c r="V38" s="177" t="s">
        <v>1664</v>
      </c>
    </row>
    <row r="39" spans="1:23" ht="15.75" hidden="1" customHeight="1" x14ac:dyDescent="0.25">
      <c r="A39" s="340"/>
      <c r="B39" s="464" t="s">
        <v>972</v>
      </c>
      <c r="C39" s="55"/>
      <c r="D39" s="55" t="s">
        <v>973</v>
      </c>
      <c r="E39" s="88">
        <f>VLOOKUP(L2,Beitrag!B18:AT23,K36+10)/100</f>
        <v>0</v>
      </c>
      <c r="F39" s="69">
        <f>$E$24*E39</f>
        <v>0</v>
      </c>
      <c r="G39" s="69">
        <f t="shared" ref="G39:G45" si="0">F39/12</f>
        <v>0</v>
      </c>
      <c r="H39" s="211"/>
      <c r="I39" s="329"/>
      <c r="J39" s="497"/>
      <c r="L39" s="177">
        <v>3</v>
      </c>
      <c r="M39" s="177" t="s">
        <v>1181</v>
      </c>
      <c r="N39" s="362">
        <v>2</v>
      </c>
      <c r="O39" s="178" t="s">
        <v>1063</v>
      </c>
      <c r="P39" s="179">
        <v>150000</v>
      </c>
      <c r="Q39" s="193" t="s">
        <v>1201</v>
      </c>
      <c r="R39" s="193" t="s">
        <v>1255</v>
      </c>
      <c r="S39" s="193" t="s">
        <v>1801</v>
      </c>
      <c r="T39" s="49">
        <v>54</v>
      </c>
      <c r="U39" s="49">
        <v>4</v>
      </c>
      <c r="V39" s="177" t="s">
        <v>1665</v>
      </c>
    </row>
    <row r="40" spans="1:23" ht="15.75" hidden="1" customHeight="1" x14ac:dyDescent="0.25">
      <c r="A40" s="340"/>
      <c r="B40" s="465" t="s">
        <v>976</v>
      </c>
      <c r="C40" s="55"/>
      <c r="D40" s="55" t="s">
        <v>977</v>
      </c>
      <c r="E40" s="88">
        <f>IF(AND(K3=1,F11&gt;65),0,IF(AND(K3=2,F11&gt;64),0,IF(L2=6,0,VLOOKUP(L2,Beitrag!B18:AT23,K37+13)/100)))</f>
        <v>8.0000000000000002E-3</v>
      </c>
      <c r="F40" s="69">
        <f>$E$24*E40</f>
        <v>800</v>
      </c>
      <c r="G40" s="69">
        <f t="shared" si="0"/>
        <v>66.666666666666671</v>
      </c>
      <c r="H40" s="211"/>
      <c r="I40" s="329"/>
      <c r="J40" s="498"/>
      <c r="L40" s="177">
        <v>4</v>
      </c>
      <c r="M40" s="177" t="s">
        <v>1182</v>
      </c>
      <c r="N40" s="362">
        <v>2</v>
      </c>
      <c r="O40" s="178" t="s">
        <v>1064</v>
      </c>
      <c r="P40" s="179">
        <v>100000</v>
      </c>
      <c r="Q40" s="193" t="s">
        <v>1202</v>
      </c>
      <c r="R40" s="193" t="s">
        <v>1256</v>
      </c>
      <c r="S40" s="193" t="s">
        <v>1802</v>
      </c>
      <c r="T40" s="49">
        <v>55</v>
      </c>
      <c r="U40" s="49">
        <v>5</v>
      </c>
      <c r="V40" s="177" t="s">
        <v>1666</v>
      </c>
    </row>
    <row r="41" spans="1:23" ht="15.75" hidden="1" customHeight="1" x14ac:dyDescent="0.25">
      <c r="A41" s="340"/>
      <c r="B41" s="467" t="s">
        <v>978</v>
      </c>
      <c r="C41" s="55"/>
      <c r="D41" s="55" t="s">
        <v>979</v>
      </c>
      <c r="E41" s="88">
        <f>IF(AND(K3=1,F11&gt;65),0,IF(AND(K3=2,F11&gt;64),0,IF(K53=6,"",VLOOKUP(L2,Beitrag!B18:AT23,K53+27)/100)))</f>
        <v>0</v>
      </c>
      <c r="F41" s="69">
        <f>IF(K53=6,2*K50%*E24,$E$24*E41)</f>
        <v>0</v>
      </c>
      <c r="G41" s="69">
        <f t="shared" si="0"/>
        <v>0</v>
      </c>
      <c r="H41" s="211"/>
      <c r="I41" s="329"/>
      <c r="J41" s="498"/>
      <c r="L41" s="177">
        <v>5</v>
      </c>
      <c r="M41" s="177" t="s">
        <v>1183</v>
      </c>
      <c r="N41" s="362">
        <v>2</v>
      </c>
      <c r="O41" s="178" t="s">
        <v>1065</v>
      </c>
      <c r="P41" s="179">
        <v>100000</v>
      </c>
      <c r="Q41" s="193" t="s">
        <v>1203</v>
      </c>
      <c r="R41" s="193" t="s">
        <v>1287</v>
      </c>
      <c r="S41" s="193" t="s">
        <v>1803</v>
      </c>
      <c r="T41" s="49">
        <v>56</v>
      </c>
      <c r="U41" s="49">
        <v>5</v>
      </c>
      <c r="V41" s="177" t="s">
        <v>1667</v>
      </c>
    </row>
    <row r="42" spans="1:23" ht="15.75" hidden="1" customHeight="1" x14ac:dyDescent="0.25">
      <c r="A42" s="340"/>
      <c r="B42" s="468" t="s">
        <v>1057</v>
      </c>
      <c r="C42" s="70"/>
      <c r="D42" s="55" t="s">
        <v>1015</v>
      </c>
      <c r="E42" s="88">
        <f>IF(AND(K3=1,F11&gt;65),0,IF(AND(K3=2,F11&gt;64),0,IF(K59=2,VLOOKUP(L2,Beitrag!B18:AT23,30)/100,VLOOKUP(L2,Beitrag!B18:AT23,K25+33)/100)))</f>
        <v>2.5999999999999999E-3</v>
      </c>
      <c r="F42" s="69">
        <f>$E$24*E42</f>
        <v>260</v>
      </c>
      <c r="G42" s="69">
        <f t="shared" si="0"/>
        <v>21.666666666666668</v>
      </c>
      <c r="H42" s="211"/>
      <c r="I42" s="329"/>
      <c r="J42" s="498"/>
      <c r="L42" s="177">
        <v>6</v>
      </c>
      <c r="M42" s="177" t="s">
        <v>1184</v>
      </c>
      <c r="N42" s="362">
        <v>2</v>
      </c>
      <c r="O42" s="178" t="s">
        <v>1066</v>
      </c>
      <c r="P42" s="177">
        <v>0</v>
      </c>
      <c r="Q42" s="193" t="s">
        <v>1204</v>
      </c>
      <c r="R42" s="193" t="s">
        <v>1288</v>
      </c>
      <c r="S42" s="193" t="s">
        <v>1804</v>
      </c>
      <c r="T42" s="49">
        <v>57</v>
      </c>
      <c r="U42" s="49">
        <v>5</v>
      </c>
      <c r="V42" s="177" t="s">
        <v>1668</v>
      </c>
    </row>
    <row r="43" spans="1:23" ht="15.75" hidden="1" customHeight="1" x14ac:dyDescent="0.25">
      <c r="A43" s="340"/>
      <c r="B43" s="469" t="s">
        <v>1058</v>
      </c>
      <c r="C43" s="70"/>
      <c r="D43" s="55" t="s">
        <v>1016</v>
      </c>
      <c r="E43" s="88">
        <f>IF(AND(K3=1,F11&gt;65),0,IF(AND(K3=2,F11&gt;64),0,IF(K36=1,0,IF(K59=2,0,VLOOKUP(L2,Beitrag!B18:AT23,K36+42)/100))))</f>
        <v>0</v>
      </c>
      <c r="F43" s="69">
        <f>$E$24*E43</f>
        <v>0</v>
      </c>
      <c r="G43" s="69">
        <f t="shared" si="0"/>
        <v>0</v>
      </c>
      <c r="H43" s="211"/>
      <c r="I43" s="329"/>
      <c r="J43" s="498"/>
      <c r="K43" s="350"/>
      <c r="L43" s="177">
        <v>7</v>
      </c>
      <c r="M43" s="177" t="s">
        <v>1185</v>
      </c>
      <c r="N43" s="362">
        <v>2</v>
      </c>
      <c r="O43" s="178" t="s">
        <v>1067</v>
      </c>
      <c r="P43" s="177">
        <v>0</v>
      </c>
      <c r="Q43" s="193" t="s">
        <v>1205</v>
      </c>
      <c r="R43" s="193" t="s">
        <v>1289</v>
      </c>
      <c r="S43" s="193" t="s">
        <v>1805</v>
      </c>
      <c r="T43" s="49">
        <v>58</v>
      </c>
      <c r="U43" s="49">
        <v>5</v>
      </c>
      <c r="V43" s="177" t="s">
        <v>1669</v>
      </c>
    </row>
    <row r="44" spans="1:23" ht="15.75" hidden="1" customHeight="1" x14ac:dyDescent="0.25">
      <c r="A44" s="340"/>
      <c r="B44" s="71"/>
      <c r="C44" s="70"/>
      <c r="D44" s="55" t="s">
        <v>1056</v>
      </c>
      <c r="E44" s="68"/>
      <c r="F44" s="69">
        <f>IF(AND(K3=1,F11&gt;65),0,IF(AND(K3=2,F11&gt;64),0,IF(J38&lt;0,0,J38)))</f>
        <v>0</v>
      </c>
      <c r="G44" s="69">
        <f t="shared" si="0"/>
        <v>0</v>
      </c>
      <c r="H44" s="211"/>
      <c r="I44" s="329"/>
      <c r="J44" s="498"/>
      <c r="L44" s="177">
        <v>8</v>
      </c>
      <c r="M44" s="177" t="s">
        <v>1186</v>
      </c>
      <c r="N44" s="362">
        <v>2</v>
      </c>
      <c r="O44" s="178" t="s">
        <v>1068</v>
      </c>
      <c r="P44" s="177">
        <v>0</v>
      </c>
      <c r="Q44" s="193" t="s">
        <v>1206</v>
      </c>
      <c r="R44" s="193" t="s">
        <v>1290</v>
      </c>
      <c r="S44" s="193" t="s">
        <v>1806</v>
      </c>
      <c r="T44" s="49">
        <v>59</v>
      </c>
      <c r="U44" s="49">
        <v>5</v>
      </c>
      <c r="V44" s="177" t="s">
        <v>1670</v>
      </c>
    </row>
    <row r="45" spans="1:23" ht="15.75" hidden="1" customHeight="1" x14ac:dyDescent="0.25">
      <c r="A45" s="340"/>
      <c r="B45" s="140" t="s">
        <v>1027</v>
      </c>
      <c r="C45" s="55"/>
      <c r="D45" s="54" t="s">
        <v>1028</v>
      </c>
      <c r="E45" s="68"/>
      <c r="F45" s="69">
        <v>192</v>
      </c>
      <c r="G45" s="69">
        <f t="shared" si="0"/>
        <v>16</v>
      </c>
      <c r="J45" s="499"/>
      <c r="L45" s="177">
        <v>9</v>
      </c>
      <c r="M45" s="177" t="s">
        <v>1187</v>
      </c>
      <c r="N45" s="362">
        <v>2</v>
      </c>
      <c r="O45" s="178" t="s">
        <v>1069</v>
      </c>
      <c r="P45" s="177">
        <v>0</v>
      </c>
      <c r="Q45" s="193" t="s">
        <v>1207</v>
      </c>
      <c r="R45" s="193" t="s">
        <v>1291</v>
      </c>
      <c r="S45" s="193" t="s">
        <v>1807</v>
      </c>
      <c r="T45" s="49">
        <v>60</v>
      </c>
      <c r="U45" s="49">
        <v>5</v>
      </c>
      <c r="V45" s="177" t="s">
        <v>1671</v>
      </c>
    </row>
    <row r="46" spans="1:23" ht="15.75" hidden="1" customHeight="1" thickBot="1" x14ac:dyDescent="0.3">
      <c r="A46" s="340"/>
      <c r="B46" s="72" t="s">
        <v>1022</v>
      </c>
      <c r="C46" s="63"/>
      <c r="D46" s="72"/>
      <c r="E46" s="573" t="str">
        <f>CONCATENATE("(",TEXT(100/E24*F46,"#.##"),"%)")</f>
        <v>(11.25%)</v>
      </c>
      <c r="F46" s="343">
        <f>SUM(F38:F45)</f>
        <v>11252</v>
      </c>
      <c r="G46" s="343">
        <f>SUM(G38:G45)</f>
        <v>937.66666666666663</v>
      </c>
      <c r="J46" s="504">
        <f>IF(E47&lt;&gt;"",E47,50%)</f>
        <v>0.5</v>
      </c>
      <c r="L46" s="177">
        <v>10</v>
      </c>
      <c r="M46" s="177" t="s">
        <v>1188</v>
      </c>
      <c r="N46" s="362">
        <v>2</v>
      </c>
      <c r="O46" s="178" t="s">
        <v>1070</v>
      </c>
      <c r="P46" s="177">
        <v>0</v>
      </c>
      <c r="Q46" s="193" t="s">
        <v>1208</v>
      </c>
      <c r="R46" s="193" t="s">
        <v>1292</v>
      </c>
      <c r="S46" s="193" t="s">
        <v>1808</v>
      </c>
      <c r="T46" s="49">
        <v>61</v>
      </c>
      <c r="U46" s="49">
        <v>5</v>
      </c>
      <c r="V46" s="177" t="s">
        <v>1672</v>
      </c>
    </row>
    <row r="47" spans="1:23" ht="15.75" customHeight="1" thickTop="1" thickBot="1" x14ac:dyDescent="0.3">
      <c r="A47" s="341" t="s">
        <v>1420</v>
      </c>
      <c r="B47" s="54" t="str">
        <f>Übersetzungen!D278</f>
        <v>Arbeitgeberanteil 50 %; anderer:</v>
      </c>
      <c r="C47" s="55"/>
      <c r="D47" s="54"/>
      <c r="E47" s="939"/>
      <c r="F47" s="483" t="str">
        <f>IF(K5&lt;&gt;1,"   nur bei Arbeitnehmern!",IF(J46&gt;100%,"    höchstens 100%!",(IF(J46&lt;50%,"    mindestens 50%!",Übersetzungen!D282))))</f>
        <v xml:space="preserve">   nur bei Arbeitnehmern!</v>
      </c>
      <c r="G47" s="329"/>
      <c r="H47" s="64"/>
      <c r="I47" s="332"/>
      <c r="J47" s="505">
        <f>IF(E47&lt;50%,50%,IF(E47&gt;100%,100%,IF(E47&lt;&gt;"",E47,50%)))</f>
        <v>0.5</v>
      </c>
      <c r="L47" s="177">
        <v>11</v>
      </c>
      <c r="M47" s="177" t="s">
        <v>1189</v>
      </c>
      <c r="N47" s="362">
        <v>2</v>
      </c>
      <c r="O47" s="178" t="s">
        <v>1071</v>
      </c>
      <c r="P47" s="177">
        <v>0</v>
      </c>
      <c r="Q47" s="193" t="s">
        <v>1209</v>
      </c>
      <c r="R47" s="193" t="s">
        <v>1293</v>
      </c>
      <c r="S47" s="193" t="s">
        <v>1809</v>
      </c>
      <c r="T47" s="49">
        <v>62</v>
      </c>
      <c r="U47" s="49">
        <v>5</v>
      </c>
      <c r="V47" s="177" t="s">
        <v>1673</v>
      </c>
      <c r="W47" s="626"/>
    </row>
    <row r="48" spans="1:23" ht="15.75" customHeight="1" thickTop="1" x14ac:dyDescent="0.25">
      <c r="A48" s="340"/>
      <c r="B48" s="116"/>
      <c r="C48" s="60"/>
      <c r="D48" s="116"/>
      <c r="E48" s="479"/>
      <c r="F48" s="478"/>
      <c r="G48" s="478"/>
      <c r="H48" s="64"/>
      <c r="I48" s="332"/>
      <c r="J48" s="499">
        <f>F46*J47</f>
        <v>5626</v>
      </c>
      <c r="L48" s="177">
        <v>12</v>
      </c>
      <c r="M48" s="177" t="s">
        <v>1190</v>
      </c>
      <c r="N48" s="362">
        <v>2</v>
      </c>
      <c r="O48" s="178" t="s">
        <v>1072</v>
      </c>
      <c r="P48" s="177">
        <v>0</v>
      </c>
      <c r="Q48" s="193" t="s">
        <v>1210</v>
      </c>
      <c r="R48" s="193" t="s">
        <v>1304</v>
      </c>
      <c r="S48" s="193" t="s">
        <v>1810</v>
      </c>
      <c r="T48" s="49">
        <v>63</v>
      </c>
      <c r="U48" s="49">
        <v>5</v>
      </c>
      <c r="V48" s="177" t="s">
        <v>1674</v>
      </c>
    </row>
    <row r="49" spans="1:23" ht="15.75" customHeight="1" x14ac:dyDescent="0.25">
      <c r="A49" s="67" t="s">
        <v>1326</v>
      </c>
      <c r="B49" s="456" t="str">
        <f>Übersetzungen!D283</f>
        <v>LEISTUNGEN</v>
      </c>
      <c r="C49" s="457"/>
      <c r="D49" s="457"/>
      <c r="E49" s="457"/>
      <c r="F49" s="461"/>
      <c r="G49" s="458"/>
      <c r="H49" s="458"/>
      <c r="I49" s="336"/>
      <c r="J49" s="489" t="str">
        <f>IF(MONTH(E15)=1,CONCATENATE("31.12.",YEAR(E15-1)),CONCATENATE(VLOOKUP(MONTH(E15)-1,L63:M74,2),".",MONTH(E15)-1,".",YEAR(E15)))</f>
        <v>31.12.2023</v>
      </c>
      <c r="L49" s="177">
        <v>13</v>
      </c>
      <c r="M49" s="177" t="s">
        <v>1191</v>
      </c>
      <c r="N49" s="362">
        <v>2</v>
      </c>
      <c r="O49" s="178" t="s">
        <v>1128</v>
      </c>
      <c r="P49" s="177">
        <v>0</v>
      </c>
      <c r="Q49" s="193" t="s">
        <v>1211</v>
      </c>
      <c r="R49" s="193" t="s">
        <v>1305</v>
      </c>
      <c r="S49" s="193" t="s">
        <v>1811</v>
      </c>
      <c r="T49" s="49">
        <v>64</v>
      </c>
      <c r="U49" s="49">
        <v>5</v>
      </c>
    </row>
    <row r="50" spans="1:23" ht="11.25" customHeight="1" x14ac:dyDescent="0.25">
      <c r="I50" s="331"/>
      <c r="K50" s="472" t="str">
        <f>IF(K53=6,ROUND((E40+E42+E43)*7.5,2),"")</f>
        <v/>
      </c>
      <c r="L50" s="177">
        <v>14</v>
      </c>
      <c r="M50" s="177" t="s">
        <v>1192</v>
      </c>
      <c r="N50" s="362">
        <v>2</v>
      </c>
      <c r="O50" s="178" t="s">
        <v>1129</v>
      </c>
      <c r="P50" s="177">
        <v>0</v>
      </c>
      <c r="Q50" s="193" t="s">
        <v>1212</v>
      </c>
      <c r="R50" s="193" t="s">
        <v>1306</v>
      </c>
      <c r="S50" s="193" t="s">
        <v>1812</v>
      </c>
      <c r="T50" s="49">
        <v>65</v>
      </c>
      <c r="U50" s="49">
        <f>IF($K$3=1,5,6)</f>
        <v>6</v>
      </c>
    </row>
    <row r="51" spans="1:23" ht="15.75" customHeight="1" x14ac:dyDescent="0.25">
      <c r="A51" s="340" t="s">
        <v>1421</v>
      </c>
      <c r="B51" s="54" t="str">
        <f>IF(E15="","PUNKT 1.8 VERVOLLSTÄNDIGEN!",IF(MONTH(E15)=1,CONCATENATE(Übersetzungen!D284,YEAR(E15-1)),CONCATENATE(Übersetzungen!D285,J49)))</f>
        <v>Altersguthaben per 31.12.2023</v>
      </c>
      <c r="C51" s="55"/>
      <c r="D51" s="54"/>
      <c r="E51" s="940"/>
      <c r="F51" s="53"/>
      <c r="I51" s="331"/>
      <c r="J51" s="896"/>
      <c r="K51" s="195">
        <v>1</v>
      </c>
      <c r="L51" s="196">
        <v>1</v>
      </c>
      <c r="M51" s="196" t="str">
        <f>Übersetzungen!D63</f>
        <v>720 Tage</v>
      </c>
      <c r="N51" s="363">
        <v>2</v>
      </c>
      <c r="O51" s="196"/>
      <c r="P51" s="196"/>
      <c r="Q51" s="196"/>
      <c r="R51" s="196" t="s">
        <v>1252</v>
      </c>
      <c r="S51" s="203">
        <v>720</v>
      </c>
      <c r="T51" s="49">
        <v>66</v>
      </c>
      <c r="U51" s="49">
        <v>6</v>
      </c>
      <c r="V51" s="182" t="s">
        <v>1657</v>
      </c>
      <c r="W51" s="626"/>
    </row>
    <row r="52" spans="1:23" ht="15.75" customHeight="1" x14ac:dyDescent="0.25">
      <c r="A52" s="340" t="s">
        <v>1422</v>
      </c>
      <c r="B52" s="54" t="str">
        <f>IF(E15="","PUNKT 1.8 VERVOLLSTÄNDIGEN!",IF(MONTH(E15)=1,CONCATENATE(Übersetzungen!D286,YEAR(E15-1)),CONCATENATE(Übersetzungen!D287,J49)))</f>
        <v>davon BVG per 31.12.2023</v>
      </c>
      <c r="C52" s="55"/>
      <c r="D52" s="54"/>
      <c r="E52" s="940"/>
      <c r="F52" s="806" t="str">
        <f>IF(E52&gt;E51,"   &gt; E.2!","")</f>
        <v/>
      </c>
      <c r="G52" s="807" t="str">
        <f>Übersetzungen!D290</f>
        <v>übersteuern</v>
      </c>
      <c r="I52" s="331"/>
      <c r="J52" s="488">
        <f>E51</f>
        <v>0</v>
      </c>
      <c r="L52" s="196">
        <v>2</v>
      </c>
      <c r="M52" s="196" t="str">
        <f>Übersetzungen!D64</f>
        <v>360 Tage</v>
      </c>
      <c r="N52" s="363">
        <v>1</v>
      </c>
      <c r="O52" s="196"/>
      <c r="P52" s="196"/>
      <c r="Q52" s="196"/>
      <c r="R52" s="196" t="s">
        <v>1253</v>
      </c>
      <c r="S52" s="203">
        <v>360</v>
      </c>
      <c r="T52" s="49">
        <v>67</v>
      </c>
      <c r="U52" s="49">
        <v>6</v>
      </c>
      <c r="V52" s="182" t="s">
        <v>1658</v>
      </c>
      <c r="W52" s="626"/>
    </row>
    <row r="53" spans="1:23" ht="15.75" customHeight="1" x14ac:dyDescent="0.25">
      <c r="A53" s="340" t="s">
        <v>1423</v>
      </c>
      <c r="B53" s="54" t="str">
        <f>Übersetzungen!D288</f>
        <v>Projektionszinssatz</v>
      </c>
      <c r="C53" s="55"/>
      <c r="D53" s="54"/>
      <c r="E53" s="808">
        <f>J15</f>
        <v>2024</v>
      </c>
      <c r="F53" s="805">
        <f>VLOOKUP(E53,Beitrag!A$73:B$163,2)</f>
        <v>0.02</v>
      </c>
      <c r="G53" s="941"/>
      <c r="H53" s="64" t="str">
        <f>CONCATENATE(Übersetzungen!D291,F53*100,"%")</f>
        <v xml:space="preserve">    leer = 2%</v>
      </c>
      <c r="I53" s="331"/>
      <c r="J53" s="894"/>
      <c r="K53" s="181">
        <v>1</v>
      </c>
      <c r="L53" s="182">
        <v>1</v>
      </c>
      <c r="M53" s="182" t="str">
        <f>Übersetzungen!D324</f>
        <v>kein zusätzliches TK</v>
      </c>
      <c r="N53" s="364">
        <v>0</v>
      </c>
      <c r="O53" s="183" t="s">
        <v>1075</v>
      </c>
      <c r="P53" s="192" t="s">
        <v>1199</v>
      </c>
      <c r="Q53" s="182" t="s">
        <v>1321</v>
      </c>
      <c r="R53" s="182"/>
      <c r="S53" s="192" t="s">
        <v>1813</v>
      </c>
      <c r="T53" s="49">
        <v>68</v>
      </c>
      <c r="U53" s="49">
        <v>6</v>
      </c>
      <c r="V53" s="182" t="s">
        <v>1659</v>
      </c>
      <c r="W53" s="626"/>
    </row>
    <row r="54" spans="1:23" ht="15.75" customHeight="1" x14ac:dyDescent="0.25">
      <c r="A54" s="340"/>
      <c r="B54" s="57"/>
      <c r="C54" s="57"/>
      <c r="D54" s="57"/>
      <c r="E54" s="801" t="str">
        <f>CONCATENATE(Übersetzungen!D289,E53+1)</f>
        <v>ab 2025</v>
      </c>
      <c r="F54" s="805">
        <f>VLOOKUP(E53+1,Beitrag!A$73:B$163,2)</f>
        <v>0.02</v>
      </c>
      <c r="G54" s="941"/>
      <c r="H54" s="64" t="str">
        <f>CONCATENATE(Übersetzungen!D291,F54*100,"%")</f>
        <v xml:space="preserve">    leer = 2%</v>
      </c>
      <c r="I54" s="331"/>
      <c r="J54" s="789"/>
      <c r="K54" s="188"/>
      <c r="L54" s="182">
        <v>2</v>
      </c>
      <c r="M54" s="182" t="s">
        <v>1196</v>
      </c>
      <c r="N54" s="364">
        <v>1</v>
      </c>
      <c r="O54" s="183" t="s">
        <v>1070</v>
      </c>
      <c r="P54" s="192" t="s">
        <v>1213</v>
      </c>
      <c r="Q54" s="182" t="s">
        <v>1247</v>
      </c>
      <c r="R54" s="182"/>
      <c r="S54" s="192" t="s">
        <v>1808</v>
      </c>
      <c r="T54" s="49">
        <v>69</v>
      </c>
      <c r="U54" s="49">
        <v>6</v>
      </c>
      <c r="V54" s="182" t="s">
        <v>1660</v>
      </c>
    </row>
    <row r="55" spans="1:23" ht="15.75" hidden="1" customHeight="1" x14ac:dyDescent="0.25">
      <c r="A55" s="340"/>
      <c r="B55" s="57"/>
      <c r="C55" s="58"/>
      <c r="D55" s="57"/>
      <c r="F55" s="788"/>
      <c r="G55" s="115"/>
      <c r="H55" s="110"/>
      <c r="I55" s="331"/>
      <c r="J55" s="209"/>
      <c r="L55" s="182">
        <v>3</v>
      </c>
      <c r="M55" s="182" t="s">
        <v>1195</v>
      </c>
      <c r="N55" s="364">
        <v>1</v>
      </c>
      <c r="O55" s="183" t="s">
        <v>1076</v>
      </c>
      <c r="P55" s="192" t="s">
        <v>1214</v>
      </c>
      <c r="Q55" s="182" t="s">
        <v>1248</v>
      </c>
      <c r="R55" s="182"/>
      <c r="S55" s="192" t="s">
        <v>1814</v>
      </c>
      <c r="T55" s="49">
        <v>70</v>
      </c>
      <c r="U55" s="49">
        <v>6</v>
      </c>
      <c r="V55" s="182" t="s">
        <v>1661</v>
      </c>
    </row>
    <row r="56" spans="1:23" ht="15.75" hidden="1" customHeight="1" x14ac:dyDescent="0.25">
      <c r="A56" s="921">
        <f>IF(F11&gt;58,F11,58)</f>
        <v>58</v>
      </c>
      <c r="B56" s="54" t="s">
        <v>1118</v>
      </c>
      <c r="C56" s="55"/>
      <c r="D56" s="54"/>
      <c r="E56" s="117" t="s">
        <v>1112</v>
      </c>
      <c r="F56" s="117" t="str">
        <f>IF(Renten!Y58&gt;0,"UWS*","UWS")</f>
        <v>UWS</v>
      </c>
      <c r="G56" s="117" t="s">
        <v>1114</v>
      </c>
      <c r="H56" s="117" t="s">
        <v>1113</v>
      </c>
      <c r="I56" s="330"/>
      <c r="J56" s="210"/>
      <c r="L56" s="182">
        <v>4</v>
      </c>
      <c r="M56" s="182" t="s">
        <v>1194</v>
      </c>
      <c r="N56" s="364">
        <v>1</v>
      </c>
      <c r="O56" s="183" t="s">
        <v>1077</v>
      </c>
      <c r="P56" s="192" t="s">
        <v>1215</v>
      </c>
      <c r="Q56" s="182" t="s">
        <v>1250</v>
      </c>
      <c r="R56" s="182"/>
      <c r="S56" s="192" t="s">
        <v>1815</v>
      </c>
      <c r="T56" s="48"/>
      <c r="U56" s="48"/>
      <c r="V56" s="182" t="s">
        <v>981</v>
      </c>
    </row>
    <row r="57" spans="1:23" ht="15.75" hidden="1" customHeight="1" x14ac:dyDescent="0.25">
      <c r="A57" s="922">
        <v>58</v>
      </c>
      <c r="B57" s="54" t="str">
        <f>CONCATENATE("58 Jahre (1.",O65,".",P65,")")</f>
        <v>58 Jahre (1.2.2043)</v>
      </c>
      <c r="C57" s="55"/>
      <c r="D57" s="54"/>
      <c r="E57" s="74">
        <f>Renten!M45</f>
        <v>313006.75795047713</v>
      </c>
      <c r="F57" s="88">
        <f>IF(Renten!Y45=1,"",Renten!N45/100)</f>
        <v>4.3499999999999997E-2</v>
      </c>
      <c r="G57" s="111">
        <f>IF(Renten!Y45=1,Renten!X45,Renten!O45)</f>
        <v>13615.793970845754</v>
      </c>
      <c r="H57" s="74">
        <f>G57/12</f>
        <v>1134.6494975704795</v>
      </c>
      <c r="I57" s="330"/>
      <c r="J57" s="210"/>
      <c r="L57" s="182">
        <v>5</v>
      </c>
      <c r="M57" s="182" t="s">
        <v>1193</v>
      </c>
      <c r="N57" s="364">
        <v>1</v>
      </c>
      <c r="O57" s="183" t="s">
        <v>1078</v>
      </c>
      <c r="P57" s="192" t="s">
        <v>1216</v>
      </c>
      <c r="Q57" s="182" t="s">
        <v>1251</v>
      </c>
      <c r="R57" s="182"/>
      <c r="S57" s="192" t="s">
        <v>1816</v>
      </c>
      <c r="T57" s="48"/>
      <c r="U57" s="48"/>
    </row>
    <row r="58" spans="1:23" ht="15.75" hidden="1" customHeight="1" x14ac:dyDescent="0.25">
      <c r="A58" s="922">
        <v>59</v>
      </c>
      <c r="B58" s="54" t="str">
        <f>CONCATENATE("59 Jahre (1.",O66,".",P66,")")</f>
        <v>59 Jahre (1.2.2044)</v>
      </c>
      <c r="C58" s="55"/>
      <c r="D58" s="54"/>
      <c r="E58" s="74">
        <f>Renten!M46</f>
        <v>337266.89310948667</v>
      </c>
      <c r="F58" s="88">
        <f>IF(Renten!Y46=1,"",Renten!N46/100)</f>
        <v>4.4999999999999998E-2</v>
      </c>
      <c r="G58" s="111">
        <f>IF(Renten!Y46=1,Renten!X46,Renten!O46)</f>
        <v>15177.010189926899</v>
      </c>
      <c r="H58" s="74">
        <f t="shared" ref="H58:H69" si="1">G58/12</f>
        <v>1264.7508491605749</v>
      </c>
      <c r="I58" s="330"/>
      <c r="J58" s="210"/>
      <c r="K58" s="1162" t="s">
        <v>3124</v>
      </c>
      <c r="L58" s="182">
        <v>6</v>
      </c>
      <c r="M58" s="182" t="str">
        <f>Übersetzungen!D325</f>
        <v>TK2 (Altersguthaben)</v>
      </c>
      <c r="N58" s="364">
        <v>2</v>
      </c>
      <c r="O58" s="182" t="s">
        <v>1075</v>
      </c>
      <c r="P58" s="192" t="s">
        <v>1199</v>
      </c>
      <c r="Q58" s="182" t="s">
        <v>1428</v>
      </c>
      <c r="R58" s="182"/>
      <c r="S58" s="192" t="s">
        <v>1819</v>
      </c>
      <c r="T58" s="48"/>
      <c r="U58" s="48"/>
    </row>
    <row r="59" spans="1:23" ht="15.75" hidden="1" customHeight="1" x14ac:dyDescent="0.25">
      <c r="A59" s="922">
        <v>60</v>
      </c>
      <c r="B59" s="54" t="str">
        <f>CONCATENATE("60 Jahre (1.",O67,".",P67,")")</f>
        <v>60 Jahre (1.2.2045)</v>
      </c>
      <c r="C59" s="55"/>
      <c r="D59" s="54"/>
      <c r="E59" s="74">
        <f>Renten!M47</f>
        <v>362012.23097167641</v>
      </c>
      <c r="F59" s="88">
        <f>IF(Renten!Y47=1,"",Renten!N47/100)</f>
        <v>4.6500000000000007E-2</v>
      </c>
      <c r="G59" s="111">
        <f>IF(Renten!Y47=1,Renten!X47,Renten!O47)</f>
        <v>16833.568740182956</v>
      </c>
      <c r="H59" s="74">
        <f t="shared" si="1"/>
        <v>1402.7973950152464</v>
      </c>
      <c r="I59" s="330"/>
      <c r="J59" s="210"/>
      <c r="K59" s="185">
        <v>1</v>
      </c>
      <c r="L59" s="186">
        <v>1</v>
      </c>
      <c r="M59" s="186" t="s">
        <v>1308</v>
      </c>
      <c r="N59" s="365">
        <v>1</v>
      </c>
      <c r="O59" s="186"/>
      <c r="P59" s="186"/>
      <c r="Q59" s="186"/>
      <c r="R59" s="186"/>
      <c r="S59" s="205" t="s">
        <v>1313</v>
      </c>
      <c r="T59" s="48"/>
      <c r="U59" s="48"/>
    </row>
    <row r="60" spans="1:23" ht="15.75" hidden="1" customHeight="1" x14ac:dyDescent="0.25">
      <c r="A60" s="922">
        <v>61</v>
      </c>
      <c r="B60" s="54" t="str">
        <f>CONCATENATE("61 Jahre (1.",O68,".",P68,")")</f>
        <v>61 Jahre (1.2.2046)</v>
      </c>
      <c r="C60" s="55"/>
      <c r="D60" s="54"/>
      <c r="E60" s="74">
        <f>Renten!M48</f>
        <v>387252.47559110989</v>
      </c>
      <c r="F60" s="88">
        <f>IF(Renten!Y48=1,"",Renten!N48/100)</f>
        <v>4.8000000000000001E-2</v>
      </c>
      <c r="G60" s="111">
        <f>IF(Renten!Y48=1,Renten!X48,Renten!O48)</f>
        <v>18588.118828373274</v>
      </c>
      <c r="H60" s="74">
        <f t="shared" si="1"/>
        <v>1549.0099023644395</v>
      </c>
      <c r="I60" s="330"/>
      <c r="J60" s="210"/>
      <c r="L60" s="186">
        <v>2</v>
      </c>
      <c r="M60" s="186" t="s">
        <v>1198</v>
      </c>
      <c r="N60" s="365">
        <v>0</v>
      </c>
      <c r="O60" s="186"/>
      <c r="P60" s="186"/>
      <c r="Q60" s="186"/>
      <c r="R60" s="186"/>
      <c r="S60" s="205" t="s">
        <v>1314</v>
      </c>
      <c r="T60" s="48"/>
      <c r="U60" s="48"/>
    </row>
    <row r="61" spans="1:23" ht="15.75" hidden="1" customHeight="1" x14ac:dyDescent="0.25">
      <c r="A61" s="922">
        <v>62</v>
      </c>
      <c r="B61" s="54" t="str">
        <f>CONCATENATE("62 Jahre (1.",O69,".",P69,")")</f>
        <v>62 Jahre (1.2.2047)</v>
      </c>
      <c r="C61" s="55"/>
      <c r="D61" s="54"/>
      <c r="E61" s="74">
        <f>Renten!M49</f>
        <v>412997.52510293206</v>
      </c>
      <c r="F61" s="88">
        <f>IF(Renten!Y49=1,"",Renten!N49/100)</f>
        <v>4.9500000000000002E-2</v>
      </c>
      <c r="G61" s="111">
        <f>IF(Renten!Y49=1,Renten!X49,Renten!O49)</f>
        <v>20443.377492595137</v>
      </c>
      <c r="H61" s="74">
        <f t="shared" si="1"/>
        <v>1703.6147910495947</v>
      </c>
      <c r="I61" s="330"/>
      <c r="K61" s="317">
        <v>1</v>
      </c>
      <c r="L61" s="318">
        <v>1</v>
      </c>
      <c r="M61" s="319">
        <v>0.6</v>
      </c>
      <c r="N61" s="366"/>
      <c r="O61" s="318"/>
      <c r="P61" s="318"/>
      <c r="Q61" s="318"/>
      <c r="R61" s="318"/>
      <c r="S61" s="320"/>
      <c r="T61" s="48"/>
      <c r="U61" s="48"/>
    </row>
    <row r="62" spans="1:23" ht="15.75" hidden="1" customHeight="1" x14ac:dyDescent="0.25">
      <c r="A62" s="922">
        <v>63</v>
      </c>
      <c r="B62" s="54" t="str">
        <f>CONCATENATE("63 Jahre (1.",O70,".",P70,")")</f>
        <v>63 Jahre (1.2.2048)</v>
      </c>
      <c r="C62" s="55"/>
      <c r="D62" s="54"/>
      <c r="E62" s="74">
        <f>Renten!M50</f>
        <v>439257.47560499073</v>
      </c>
      <c r="F62" s="88">
        <f>IF(Renten!Y50=1,"",Renten!N50/100)</f>
        <v>5.0999999999999997E-2</v>
      </c>
      <c r="G62" s="111">
        <f>IF(Renten!Y50=1,Renten!X50,Renten!O50)</f>
        <v>22402.131255854525</v>
      </c>
      <c r="H62" s="74">
        <f t="shared" si="1"/>
        <v>1866.8442713212105</v>
      </c>
      <c r="I62" s="330"/>
      <c r="J62" s="210"/>
      <c r="K62" s="284"/>
      <c r="L62" s="321">
        <v>2</v>
      </c>
      <c r="M62" s="318" t="s">
        <v>1402</v>
      </c>
      <c r="N62" s="367"/>
      <c r="O62" s="318"/>
      <c r="P62" s="322"/>
      <c r="Q62" s="322"/>
      <c r="R62" s="322"/>
      <c r="S62" s="323"/>
      <c r="T62" s="48"/>
      <c r="U62" s="48"/>
    </row>
    <row r="63" spans="1:23" ht="15.75" hidden="1" customHeight="1" x14ac:dyDescent="0.25">
      <c r="A63" s="922">
        <v>64</v>
      </c>
      <c r="B63" s="54" t="str">
        <f>CONCATENATE("64 Jahre (1.",O71,".",P71,")")</f>
        <v>64 Jahre (1.2.2049)</v>
      </c>
      <c r="C63" s="55"/>
      <c r="D63" s="54"/>
      <c r="E63" s="74">
        <f>Renten!M51</f>
        <v>466042.62511709053</v>
      </c>
      <c r="F63" s="1353">
        <f>IF(Renten!Y51=1,"",Renten!N51/100)</f>
        <v>5.2499999999999998E-2</v>
      </c>
      <c r="G63" s="111">
        <f>IF(Renten!Y51=1,Renten!X51,Renten!O51)</f>
        <v>24467.237818647252</v>
      </c>
      <c r="H63" s="74">
        <f t="shared" si="1"/>
        <v>2038.936484887271</v>
      </c>
      <c r="I63" s="330"/>
      <c r="J63" s="328">
        <f>IF(K3=1,G64,G63)</f>
        <v>24467.237818647252</v>
      </c>
      <c r="L63" s="189">
        <v>1</v>
      </c>
      <c r="M63" s="189">
        <v>31</v>
      </c>
      <c r="N63" s="316"/>
      <c r="O63" s="285"/>
      <c r="P63" s="286"/>
      <c r="Q63" s="286"/>
      <c r="R63" s="286"/>
      <c r="T63" s="48"/>
      <c r="U63" s="48"/>
    </row>
    <row r="64" spans="1:23" ht="15.75" hidden="1" customHeight="1" x14ac:dyDescent="0.25">
      <c r="A64" s="922">
        <v>65</v>
      </c>
      <c r="B64" s="1352" t="str">
        <f>IF(Renten!Q71=64,CONCATENATE("65 Jahre (1.",O72,".",P72,")"),"im AHV-Referenzalter")</f>
        <v>im AHV-Referenzalter</v>
      </c>
      <c r="C64" s="55"/>
      <c r="D64" s="54"/>
      <c r="E64" s="74">
        <f>IF(Renten!Q71=64,Renten!T79,Renten!T81)</f>
        <v>493363.47761943238</v>
      </c>
      <c r="F64" s="88">
        <f>IF(AND(Renten!Q71=64,K5=4),Renten!W79,IF(AND(Renten!Q71=64,K5&lt;&gt;4),Renten!V79,IF(AND(Renten!Q71&lt;&gt;64,K5=4),Renten!V81,Renten!W81)))</f>
        <v>4.9299999999999997E-2</v>
      </c>
      <c r="G64" s="111">
        <f>IF(Renten!Q71=64,Renten!AB79,Renten!AB81)</f>
        <v>26641.627791449348</v>
      </c>
      <c r="H64" s="74">
        <f t="shared" si="1"/>
        <v>2220.1356492874456</v>
      </c>
      <c r="I64" s="330"/>
      <c r="J64" s="210"/>
      <c r="K64" s="284"/>
      <c r="L64" s="175">
        <v>2</v>
      </c>
      <c r="M64" s="189">
        <v>28</v>
      </c>
      <c r="N64" s="368"/>
      <c r="O64" s="285"/>
      <c r="P64" s="286"/>
      <c r="Q64" s="286"/>
      <c r="R64" s="286"/>
      <c r="T64" s="48"/>
      <c r="U64" s="48"/>
    </row>
    <row r="65" spans="1:23" s="46" customFormat="1" ht="15.75" hidden="1" customHeight="1" x14ac:dyDescent="0.25">
      <c r="A65" s="922">
        <v>66</v>
      </c>
      <c r="B65" s="54" t="str">
        <f>CONCATENATE("66 Jahre (1.",O73,".",P73,")")</f>
        <v>66 Jahre (1.2.2051)</v>
      </c>
      <c r="C65" s="55"/>
      <c r="D65" s="54"/>
      <c r="E65" s="74">
        <f>Renten!M53</f>
        <v>521230.74717182101</v>
      </c>
      <c r="F65" s="88">
        <f>IF(Renten!Y53=1,"",Renten!N53/100)</f>
        <v>5.5500000000000001E-2</v>
      </c>
      <c r="G65" s="111">
        <f>IF(Renten!Y53=1,Renten!X53,Renten!O53)</f>
        <v>28928.306468036066</v>
      </c>
      <c r="H65" s="74">
        <f t="shared" si="1"/>
        <v>2410.6922056696721</v>
      </c>
      <c r="I65" s="330"/>
      <c r="J65" s="210"/>
      <c r="K65" s="284"/>
      <c r="L65" s="175">
        <v>3</v>
      </c>
      <c r="M65" s="175">
        <v>31</v>
      </c>
      <c r="N65" s="368"/>
      <c r="O65" s="369">
        <f t="shared" ref="O65:O77" si="2">IF(MONTH($E$11)=12,1,IF(MONTH($E$11)=11,12,IF(MONTH($E$11)=10,11,MONTH($E$11)+1)))</f>
        <v>2</v>
      </c>
      <c r="P65" s="285">
        <f>$J$10+58</f>
        <v>2043</v>
      </c>
      <c r="Q65" s="285">
        <v>2014</v>
      </c>
      <c r="R65" s="1256">
        <v>41640</v>
      </c>
      <c r="S65" s="197"/>
      <c r="T65" s="48"/>
      <c r="U65" s="48"/>
      <c r="V65" s="45"/>
      <c r="W65" s="32"/>
    </row>
    <row r="66" spans="1:23" s="46" customFormat="1" ht="15.75" hidden="1" customHeight="1" x14ac:dyDescent="0.25">
      <c r="A66" s="922">
        <v>67</v>
      </c>
      <c r="B66" s="54" t="str">
        <f>CONCATENATE("67 Jahre (1.",O74,".",P74,")")</f>
        <v>67 Jahre (1.2.2052)</v>
      </c>
      <c r="C66" s="55"/>
      <c r="D66" s="54"/>
      <c r="E66" s="74">
        <f>Renten!M54</f>
        <v>549655.36211525742</v>
      </c>
      <c r="F66" s="88">
        <f>IF(Renten!Y54=1,"",Renten!N54/100)</f>
        <v>5.7000000000000002E-2</v>
      </c>
      <c r="G66" s="111">
        <f>IF(Renten!Y54=1,Renten!X54,Renten!O54)</f>
        <v>31330.355640569673</v>
      </c>
      <c r="H66" s="74">
        <f t="shared" si="1"/>
        <v>2610.8629700474726</v>
      </c>
      <c r="I66" s="330"/>
      <c r="J66" s="210"/>
      <c r="K66" s="284"/>
      <c r="L66" s="175">
        <v>4</v>
      </c>
      <c r="M66" s="175">
        <v>30</v>
      </c>
      <c r="N66" s="368"/>
      <c r="O66" s="369">
        <f t="shared" si="2"/>
        <v>2</v>
      </c>
      <c r="P66" s="285">
        <f>$J$10+59</f>
        <v>2044</v>
      </c>
      <c r="Q66" s="285">
        <v>2015</v>
      </c>
      <c r="R66" s="1256">
        <v>42005</v>
      </c>
      <c r="S66" s="897"/>
      <c r="T66" s="48"/>
      <c r="U66" s="48"/>
      <c r="V66" s="45"/>
      <c r="W66" s="32"/>
    </row>
    <row r="67" spans="1:23" s="46" customFormat="1" ht="15.75" hidden="1" customHeight="1" x14ac:dyDescent="0.25">
      <c r="A67" s="922">
        <v>68</v>
      </c>
      <c r="B67" s="54" t="str">
        <f>CONCATENATE("68 Jahre (1.",O75,".",P75,")")</f>
        <v>68 Jahre (1.2.2053)</v>
      </c>
      <c r="C67" s="55"/>
      <c r="D67" s="54"/>
      <c r="E67" s="74">
        <f>Renten!M55</f>
        <v>578648.4693575626</v>
      </c>
      <c r="F67" s="88">
        <f>IF(Renten!Y55=1,"",Renten!N55/100)</f>
        <v>5.8499999999999996E-2</v>
      </c>
      <c r="G67" s="111">
        <f>IF(Renten!Y55=1,Renten!X55,Renten!O55)</f>
        <v>33850.935457417407</v>
      </c>
      <c r="H67" s="74">
        <f t="shared" si="1"/>
        <v>2820.9112881181172</v>
      </c>
      <c r="I67" s="330"/>
      <c r="J67" s="210"/>
      <c r="K67" s="284"/>
      <c r="L67" s="175">
        <v>5</v>
      </c>
      <c r="M67" s="175">
        <v>31</v>
      </c>
      <c r="N67" s="368"/>
      <c r="O67" s="369">
        <f t="shared" si="2"/>
        <v>2</v>
      </c>
      <c r="P67" s="285">
        <f>$J$10+60</f>
        <v>2045</v>
      </c>
      <c r="Q67" s="285">
        <v>2016</v>
      </c>
      <c r="R67" s="1256">
        <v>42370</v>
      </c>
      <c r="S67" s="897"/>
      <c r="T67" s="48"/>
      <c r="U67" s="48"/>
      <c r="V67" s="45"/>
      <c r="W67" s="32"/>
    </row>
    <row r="68" spans="1:23" s="46" customFormat="1" ht="15.75" hidden="1" customHeight="1" x14ac:dyDescent="0.25">
      <c r="A68" s="922">
        <v>69</v>
      </c>
      <c r="B68" s="54" t="str">
        <f>CONCATENATE("69 Jahre (1.",O76,".",P76,")")</f>
        <v>69 Jahre (1.2.2054)</v>
      </c>
      <c r="C68" s="55"/>
      <c r="D68" s="54"/>
      <c r="E68" s="74">
        <f>Renten!M56</f>
        <v>608221.43874471379</v>
      </c>
      <c r="F68" s="88">
        <f>IF(Renten!Y56=1,"",Renten!N56/100)</f>
        <v>0.06</v>
      </c>
      <c r="G68" s="111">
        <f>IF(Renten!Y56=1,Renten!X56,Renten!O56)</f>
        <v>36493.286324682827</v>
      </c>
      <c r="H68" s="74">
        <f t="shared" si="1"/>
        <v>3041.1071937235688</v>
      </c>
      <c r="I68" s="330"/>
      <c r="J68" s="210"/>
      <c r="K68" s="284"/>
      <c r="L68" s="175">
        <v>6</v>
      </c>
      <c r="M68" s="175">
        <v>30</v>
      </c>
      <c r="N68" s="368"/>
      <c r="O68" s="369">
        <f t="shared" si="2"/>
        <v>2</v>
      </c>
      <c r="P68" s="285">
        <f>$J$10+61</f>
        <v>2046</v>
      </c>
      <c r="Q68" s="285">
        <v>2017</v>
      </c>
      <c r="R68" s="1256">
        <v>42736</v>
      </c>
      <c r="S68" s="897"/>
      <c r="T68" s="48"/>
      <c r="U68" s="48"/>
      <c r="V68" s="45"/>
      <c r="W68" s="32"/>
    </row>
    <row r="69" spans="1:23" s="46" customFormat="1" ht="15.75" hidden="1" customHeight="1" x14ac:dyDescent="0.25">
      <c r="A69" s="922">
        <v>70</v>
      </c>
      <c r="B69" s="54" t="str">
        <f>CONCATENATE("70 Jahre (1.",O77,".",P77,")")</f>
        <v>70 Jahre (1.2.2055)</v>
      </c>
      <c r="C69" s="55"/>
      <c r="D69" s="54"/>
      <c r="E69" s="74">
        <f>Renten!M57</f>
        <v>638385.86751960812</v>
      </c>
      <c r="F69" s="88">
        <f>IF(Renten!Y57=1,"",Renten!N57/100)</f>
        <v>6.1500000000000006E-2</v>
      </c>
      <c r="G69" s="111">
        <f>IF(Renten!Y57=1,Renten!X57,Renten!O57)</f>
        <v>39260.730852455905</v>
      </c>
      <c r="H69" s="74">
        <f t="shared" si="1"/>
        <v>3271.7275710379922</v>
      </c>
      <c r="I69" s="58"/>
      <c r="J69" s="180"/>
      <c r="K69" s="284"/>
      <c r="L69" s="175">
        <v>7</v>
      </c>
      <c r="M69" s="175">
        <v>31</v>
      </c>
      <c r="N69" s="368"/>
      <c r="O69" s="369">
        <f t="shared" si="2"/>
        <v>2</v>
      </c>
      <c r="P69" s="285">
        <f>$J$10+62</f>
        <v>2047</v>
      </c>
      <c r="Q69" s="285">
        <v>2018</v>
      </c>
      <c r="R69" s="1256">
        <v>43101</v>
      </c>
      <c r="S69" s="897"/>
      <c r="T69" s="48"/>
      <c r="U69" s="48"/>
      <c r="V69" s="45"/>
      <c r="W69" s="32"/>
    </row>
    <row r="70" spans="1:23" s="46" customFormat="1" ht="15.75" hidden="1" customHeight="1" x14ac:dyDescent="0.25">
      <c r="A70" s="340"/>
      <c r="B70" s="89"/>
      <c r="C70" s="89"/>
      <c r="D70" s="89"/>
      <c r="E70" s="370"/>
      <c r="F70" s="371"/>
      <c r="G70" s="76"/>
      <c r="H70" s="52"/>
      <c r="I70" s="330"/>
      <c r="J70" s="208">
        <f>YEAR('Ausweis-Certificat'!J14)-YEAR(E11)</f>
        <v>65</v>
      </c>
      <c r="K70" s="284"/>
      <c r="L70" s="175">
        <v>8</v>
      </c>
      <c r="M70" s="175">
        <v>31</v>
      </c>
      <c r="N70" s="368"/>
      <c r="O70" s="369">
        <f t="shared" si="2"/>
        <v>2</v>
      </c>
      <c r="P70" s="285">
        <f>$J$10+63</f>
        <v>2048</v>
      </c>
      <c r="Q70" s="285">
        <v>2019</v>
      </c>
      <c r="R70" s="1256">
        <v>43466</v>
      </c>
      <c r="S70" s="897"/>
      <c r="T70" s="48"/>
      <c r="U70" s="48"/>
      <c r="V70" s="45"/>
      <c r="W70" s="32"/>
    </row>
    <row r="71" spans="1:23" s="46" customFormat="1" ht="15.75" hidden="1" customHeight="1" x14ac:dyDescent="0.25">
      <c r="A71" s="340"/>
      <c r="B71" s="55" t="s">
        <v>1073</v>
      </c>
      <c r="C71" s="55"/>
      <c r="D71" s="55"/>
      <c r="E71" s="77" t="str">
        <f>IF(AND(K3=1,F11&gt;65),0,IF(AND(K3=2,F11&gt;64),0,VLOOKUP(K37,L37:O50,4)))</f>
        <v>40% vL</v>
      </c>
      <c r="F71" s="372" t="str">
        <f>CONCATENATE("nach ",VLOOKUP(K51,L51:M52,2),"n")</f>
        <v>nach 720 Tagen</v>
      </c>
      <c r="G71" s="625">
        <f>IF(J71&gt;J72,J71,J72)</f>
        <v>40000</v>
      </c>
      <c r="H71" s="74">
        <f>G71/12</f>
        <v>3333.3333333333335</v>
      </c>
      <c r="I71" s="330"/>
      <c r="J71" s="488">
        <f>(E52+Renten!S58)*6.8%</f>
        <v>16632.094500000003</v>
      </c>
      <c r="K71" s="284"/>
      <c r="L71" s="175">
        <v>9</v>
      </c>
      <c r="M71" s="175">
        <v>30</v>
      </c>
      <c r="N71" s="368"/>
      <c r="O71" s="369">
        <f t="shared" si="2"/>
        <v>2</v>
      </c>
      <c r="P71" s="285">
        <f>$J$10+64</f>
        <v>2049</v>
      </c>
      <c r="Q71" s="285">
        <v>2020</v>
      </c>
      <c r="R71" s="1256">
        <v>43831</v>
      </c>
      <c r="S71" s="897"/>
      <c r="T71" s="48"/>
      <c r="U71" s="48"/>
      <c r="V71" s="45"/>
      <c r="W71" s="32"/>
    </row>
    <row r="72" spans="1:23" ht="15.75" hidden="1" customHeight="1" x14ac:dyDescent="0.25">
      <c r="A72" s="340"/>
      <c r="B72" s="55" t="s">
        <v>1035</v>
      </c>
      <c r="C72" s="55"/>
      <c r="D72" s="55"/>
      <c r="E72" s="75" t="s">
        <v>1074</v>
      </c>
      <c r="F72" s="372" t="str">
        <f>CONCATENATE("nach ",VLOOKUP(K51,L51:M52,2),"n")</f>
        <v>nach 720 Tagen</v>
      </c>
      <c r="G72" s="74">
        <f>G71*20%</f>
        <v>8000</v>
      </c>
      <c r="H72" s="74">
        <f>G72/12</f>
        <v>666.66666666666663</v>
      </c>
      <c r="I72" s="330"/>
      <c r="J72" s="488">
        <f>IF(AND(K9=1,K15=1,K18=1,K25=1,K36=1,K37=1,K53=1),(E51+Renten!AA58)*(VLOOKUP(J70,Renten!A45:N57,14))%,IF(AND(K37=1),(E52+Renten!S58)*(VLOOKUP(J70,Renten!A45:N57,14))%,E24*LEFT(E71,4)))</f>
        <v>40000</v>
      </c>
      <c r="K72" s="284"/>
      <c r="L72" s="175">
        <v>10</v>
      </c>
      <c r="M72" s="175">
        <v>31</v>
      </c>
      <c r="N72" s="368"/>
      <c r="O72" s="369">
        <f t="shared" si="2"/>
        <v>2</v>
      </c>
      <c r="P72" s="285">
        <f>$J$10+65</f>
        <v>2050</v>
      </c>
      <c r="Q72" s="285">
        <v>2021</v>
      </c>
      <c r="R72" s="1256">
        <v>44197</v>
      </c>
      <c r="S72" s="897"/>
      <c r="T72" s="48"/>
      <c r="U72" s="48"/>
      <c r="V72" s="46"/>
    </row>
    <row r="73" spans="1:23" ht="15.75" hidden="1" customHeight="1" x14ac:dyDescent="0.25">
      <c r="A73" s="340"/>
      <c r="B73" s="55"/>
      <c r="C73" s="55"/>
      <c r="D73" s="55"/>
      <c r="E73" s="75"/>
      <c r="F73" s="74"/>
      <c r="G73" s="74"/>
      <c r="H73" s="74"/>
      <c r="I73" s="330"/>
      <c r="K73" s="284"/>
      <c r="L73" s="175">
        <v>11</v>
      </c>
      <c r="M73" s="175">
        <v>30</v>
      </c>
      <c r="N73" s="368"/>
      <c r="O73" s="369">
        <f t="shared" si="2"/>
        <v>2</v>
      </c>
      <c r="P73" s="285">
        <f>$J$10+66</f>
        <v>2051</v>
      </c>
      <c r="Q73" s="285">
        <v>2022</v>
      </c>
      <c r="R73" s="1256">
        <v>44562</v>
      </c>
      <c r="S73" s="897"/>
      <c r="T73" s="48"/>
      <c r="U73" s="48"/>
      <c r="V73" s="46"/>
    </row>
    <row r="74" spans="1:23" ht="15.75" hidden="1" customHeight="1" x14ac:dyDescent="0.25">
      <c r="A74" s="340"/>
      <c r="B74" s="55" t="s">
        <v>1036</v>
      </c>
      <c r="C74" s="55"/>
      <c r="D74" s="55"/>
      <c r="E74" s="102" t="str">
        <f>IF(AND(K3=1,F11&gt;65),"60% AltersR",IF(AND(K3=2,F11&gt;64),"60% AltersR","60% InvR"))</f>
        <v>60% InvR</v>
      </c>
      <c r="F74" s="74"/>
      <c r="G74" s="74">
        <f>G71*60%</f>
        <v>24000</v>
      </c>
      <c r="H74" s="74">
        <f>G74/12</f>
        <v>2000</v>
      </c>
      <c r="I74" s="330"/>
      <c r="K74" s="284"/>
      <c r="L74" s="175">
        <v>12</v>
      </c>
      <c r="M74" s="175">
        <v>31</v>
      </c>
      <c r="N74" s="368"/>
      <c r="O74" s="369">
        <f t="shared" si="2"/>
        <v>2</v>
      </c>
      <c r="P74" s="285">
        <f>$J$10+67</f>
        <v>2052</v>
      </c>
      <c r="Q74" s="285">
        <v>2023</v>
      </c>
      <c r="R74" s="1256">
        <v>44927</v>
      </c>
      <c r="S74" s="897"/>
      <c r="T74" s="48"/>
      <c r="U74" s="48"/>
      <c r="V74" s="46"/>
    </row>
    <row r="75" spans="1:23" ht="15.75" hidden="1" customHeight="1" x14ac:dyDescent="0.25">
      <c r="A75" s="340"/>
      <c r="B75" s="55" t="s">
        <v>1037</v>
      </c>
      <c r="C75" s="55"/>
      <c r="D75" s="55"/>
      <c r="E75" s="75" t="str">
        <f>IF(AND(K3=1,F11&gt;65),"60% AltersR",IF(AND(K3=2,F11&gt;64),"20% AltersR","20% InvR"))</f>
        <v>20% InvR</v>
      </c>
      <c r="F75" s="74"/>
      <c r="G75" s="74">
        <f>G71*20%</f>
        <v>8000</v>
      </c>
      <c r="H75" s="74">
        <f>G75/12</f>
        <v>666.66666666666663</v>
      </c>
      <c r="I75" s="330"/>
      <c r="K75" s="436">
        <v>1</v>
      </c>
      <c r="L75" s="436">
        <v>1</v>
      </c>
      <c r="M75" s="437" t="str">
        <f>Übersetzungen!D326</f>
        <v>ja</v>
      </c>
      <c r="N75" s="368"/>
      <c r="O75" s="369">
        <f t="shared" si="2"/>
        <v>2</v>
      </c>
      <c r="P75" s="285">
        <f>$J$10+68</f>
        <v>2053</v>
      </c>
      <c r="Q75" s="285">
        <v>2024</v>
      </c>
      <c r="R75" s="1256">
        <v>45292</v>
      </c>
      <c r="S75" s="897"/>
      <c r="T75" s="48"/>
      <c r="U75" s="48"/>
      <c r="V75" s="48"/>
    </row>
    <row r="76" spans="1:23" ht="15.75" hidden="1" customHeight="1" x14ac:dyDescent="0.25">
      <c r="A76" s="340"/>
      <c r="B76" s="55" t="s">
        <v>1038</v>
      </c>
      <c r="C76" s="55"/>
      <c r="D76" s="55"/>
      <c r="E76" s="75" t="str">
        <f>IF(AND(K3=1,F11&gt;65),"30% AltersR",IF(AND(K3=2,F11&gt;64),"30% AltersR","30% InvR"))</f>
        <v>30% InvR</v>
      </c>
      <c r="F76" s="74"/>
      <c r="G76" s="74">
        <f>G71*30%</f>
        <v>12000</v>
      </c>
      <c r="H76" s="74">
        <f>G76/12</f>
        <v>1000</v>
      </c>
      <c r="K76" s="438"/>
      <c r="L76" s="439">
        <v>2</v>
      </c>
      <c r="M76" s="439" t="str">
        <f>Übersetzungen!D327</f>
        <v>nein</v>
      </c>
      <c r="O76" s="369">
        <f t="shared" si="2"/>
        <v>2</v>
      </c>
      <c r="P76" s="285">
        <f>$J$10+69</f>
        <v>2054</v>
      </c>
      <c r="Q76" s="285">
        <v>2025</v>
      </c>
      <c r="R76" s="1256">
        <v>45658</v>
      </c>
      <c r="S76" s="897"/>
      <c r="T76" s="48"/>
      <c r="U76" s="48"/>
      <c r="V76" s="48"/>
    </row>
    <row r="77" spans="1:23" ht="15.75" hidden="1" customHeight="1" x14ac:dyDescent="0.25">
      <c r="A77" s="340"/>
      <c r="B77" s="55"/>
      <c r="C77" s="55"/>
      <c r="D77" s="55"/>
      <c r="E77" s="75"/>
      <c r="F77" s="74"/>
      <c r="G77" s="74"/>
      <c r="K77" s="172">
        <v>1</v>
      </c>
      <c r="L77" s="720">
        <v>1</v>
      </c>
      <c r="M77" s="720" t="str">
        <f>Übersetzungen!D326</f>
        <v>ja</v>
      </c>
      <c r="N77" s="316"/>
      <c r="O77" s="369">
        <f t="shared" si="2"/>
        <v>2</v>
      </c>
      <c r="P77" s="285">
        <f>$J$10+70</f>
        <v>2055</v>
      </c>
      <c r="Q77" s="285">
        <v>2026</v>
      </c>
      <c r="R77" s="1256">
        <v>46023</v>
      </c>
      <c r="S77" s="897"/>
      <c r="T77" s="48"/>
      <c r="U77" s="48"/>
      <c r="V77" s="48"/>
    </row>
    <row r="78" spans="1:23" ht="15.75" hidden="1" customHeight="1" x14ac:dyDescent="0.25">
      <c r="A78" s="341"/>
      <c r="B78" s="55" t="s">
        <v>1426</v>
      </c>
      <c r="C78" s="55"/>
      <c r="D78" s="55"/>
      <c r="E78" s="77" t="str">
        <f>VLOOKUP(K53,L53:O58,4)</f>
        <v xml:space="preserve"> </v>
      </c>
      <c r="F78" s="73"/>
      <c r="G78" s="73">
        <f>IF(K53=1,0,IF(K53=6,Übersetzungen!D201,LEFT(VLOOKUP(K53,L54:O57,4),4)*E24))</f>
        <v>0</v>
      </c>
      <c r="K78" s="48" t="s">
        <v>1034</v>
      </c>
      <c r="L78" s="720">
        <v>2</v>
      </c>
      <c r="M78" s="720" t="str">
        <f>Übersetzungen!D327</f>
        <v>nein</v>
      </c>
      <c r="N78" s="316"/>
      <c r="O78" s="187"/>
      <c r="T78" s="48"/>
      <c r="U78" s="48"/>
      <c r="V78" s="48"/>
    </row>
    <row r="79" spans="1:23" ht="15.75" hidden="1" customHeight="1" x14ac:dyDescent="0.25">
      <c r="B79" s="78"/>
      <c r="C79" s="79"/>
      <c r="I79" s="373"/>
      <c r="K79" s="188" t="s">
        <v>801</v>
      </c>
      <c r="L79" s="1142">
        <v>1</v>
      </c>
      <c r="M79" s="1145" t="s">
        <v>2521</v>
      </c>
      <c r="T79" s="48"/>
      <c r="U79" s="48"/>
    </row>
    <row r="80" spans="1:23" ht="15.75" hidden="1" customHeight="1" x14ac:dyDescent="0.25">
      <c r="B80" s="456" t="s">
        <v>1162</v>
      </c>
      <c r="C80" s="457"/>
      <c r="D80" s="458"/>
      <c r="E80" s="458"/>
      <c r="F80" s="458"/>
      <c r="G80" s="458"/>
      <c r="H80" s="458"/>
      <c r="K80" s="188"/>
      <c r="L80" s="1142">
        <v>2</v>
      </c>
      <c r="M80" s="1145" t="s">
        <v>2523</v>
      </c>
      <c r="T80" s="48"/>
      <c r="U80" s="48"/>
    </row>
    <row r="81" spans="1:23" ht="10.5" hidden="1" customHeight="1" x14ac:dyDescent="0.25">
      <c r="K81" s="1144">
        <v>1</v>
      </c>
      <c r="L81" s="1143">
        <v>3</v>
      </c>
      <c r="M81" s="1146" t="s">
        <v>2522</v>
      </c>
      <c r="T81" s="48"/>
      <c r="U81" s="48"/>
    </row>
    <row r="82" spans="1:23" ht="15.75" hidden="1" customHeight="1" x14ac:dyDescent="0.25">
      <c r="A82" s="340"/>
      <c r="B82" s="54" t="s">
        <v>1088</v>
      </c>
      <c r="C82" s="55"/>
      <c r="D82" s="54"/>
      <c r="E82" s="80">
        <f>IF(K2&gt;64,VLOOKUP(65,Leistungen!A97:M136,Input!K25+1),VLOOKUP(K2,Leistungen!A97:M136,Input!K25+1))</f>
        <v>1.242</v>
      </c>
      <c r="T82" s="48"/>
      <c r="U82" s="48"/>
    </row>
    <row r="83" spans="1:23" ht="15.75" hidden="1" customHeight="1" x14ac:dyDescent="0.25">
      <c r="A83" s="340"/>
      <c r="B83" s="54" t="s">
        <v>1089</v>
      </c>
      <c r="C83" s="55"/>
      <c r="D83" s="54"/>
      <c r="E83" s="80">
        <f>IF(K2&gt;64,VLOOKUP(65,Leistungen!A97:M136,Input!K36+10),VLOOKUP(K2,Leistungen!A97:M136,Input!K36+10))</f>
        <v>0</v>
      </c>
      <c r="K83" s="190"/>
      <c r="T83" s="48"/>
      <c r="U83" s="48"/>
    </row>
    <row r="84" spans="1:23" ht="15.75" hidden="1" customHeight="1" x14ac:dyDescent="0.25">
      <c r="A84" s="340"/>
      <c r="B84" s="72" t="s">
        <v>1087</v>
      </c>
      <c r="C84" s="63"/>
      <c r="D84" s="72"/>
      <c r="E84" s="81">
        <f>IF(J84&lt;0,0,J84)</f>
        <v>124200</v>
      </c>
      <c r="F84" s="583" t="str">
        <f>IF(AND(F11&gt;65,K3=1),"   bitte mit Steuerbehörde abklären!",IF(AND(F11&gt;64,K3=2),"   bitte mit Steuerbehörde abklären!",""))</f>
        <v/>
      </c>
      <c r="J84" s="153">
        <f>IF(((E82+E83)*E19-J52)&lt;0,0,(E82+E83)*E24-J52)</f>
        <v>124200</v>
      </c>
      <c r="K84" s="190"/>
      <c r="T84" s="48"/>
      <c r="U84" s="48"/>
    </row>
    <row r="85" spans="1:23" ht="15.75" customHeight="1" x14ac:dyDescent="0.25">
      <c r="A85" s="341"/>
      <c r="K85" s="374"/>
      <c r="T85" s="48"/>
      <c r="U85" s="48"/>
    </row>
    <row r="86" spans="1:23" ht="15.75" customHeight="1" x14ac:dyDescent="0.25">
      <c r="A86" s="67" t="s">
        <v>1424</v>
      </c>
      <c r="B86" s="54" t="str">
        <f>Übersetzungen!D292</f>
        <v>Offerte</v>
      </c>
      <c r="C86" s="55"/>
      <c r="D86" s="54"/>
      <c r="E86" s="718"/>
      <c r="F86" s="1160" t="str">
        <f>Übersetzungen!D299</f>
        <v xml:space="preserve">             Sparguthaben ausweisen?*</v>
      </c>
      <c r="G86" s="722"/>
      <c r="H86" s="723"/>
      <c r="I86" s="331"/>
      <c r="T86" s="48"/>
      <c r="U86" s="48"/>
      <c r="W86" s="626"/>
    </row>
    <row r="87" spans="1:23" ht="15.75" customHeight="1" x14ac:dyDescent="0.25">
      <c r="A87" s="67" t="s">
        <v>1425</v>
      </c>
      <c r="B87" s="54" t="str">
        <f>Übersetzungen!D293</f>
        <v>Erstellt durch</v>
      </c>
      <c r="C87" s="55"/>
      <c r="D87" s="54"/>
      <c r="E87" s="1366"/>
      <c r="F87" s="1367"/>
      <c r="I87" s="331"/>
      <c r="T87" s="48"/>
      <c r="U87" s="48"/>
      <c r="W87" s="626"/>
    </row>
    <row r="88" spans="1:23" ht="15.75" customHeight="1" x14ac:dyDescent="0.25">
      <c r="A88" s="67" t="s">
        <v>1487</v>
      </c>
      <c r="B88" s="54" t="str">
        <f>Übersetzungen!D294</f>
        <v>Zuständig</v>
      </c>
      <c r="C88" s="55"/>
      <c r="D88" s="54"/>
      <c r="E88" s="1370"/>
      <c r="F88" s="1371"/>
      <c r="I88" s="331"/>
      <c r="J88" s="485">
        <f ca="1">IF(E90="",TODAY(),E90)</f>
        <v>45063</v>
      </c>
      <c r="T88" s="48"/>
      <c r="U88" s="48"/>
      <c r="W88" s="626"/>
    </row>
    <row r="89" spans="1:23" ht="15.75" customHeight="1" x14ac:dyDescent="0.25">
      <c r="A89" s="67" t="s">
        <v>1490</v>
      </c>
      <c r="B89" s="924" t="str">
        <f>Übersetzungen!D295</f>
        <v>Telefonnummer</v>
      </c>
      <c r="C89" s="89"/>
      <c r="D89" s="924"/>
      <c r="E89" s="1368"/>
      <c r="F89" s="1369"/>
      <c r="I89" s="331"/>
      <c r="T89" s="48"/>
      <c r="U89" s="48"/>
      <c r="W89" s="626"/>
    </row>
    <row r="90" spans="1:23" ht="15.75" customHeight="1" x14ac:dyDescent="0.25">
      <c r="A90" s="67" t="s">
        <v>1222</v>
      </c>
      <c r="B90" s="54" t="str">
        <f ca="1">CONCATENATE(Übersetzungen!D296,TEXT(TODAY(),"T.M.JJJJ"),Übersetzungen!D297)</f>
        <v>Erstellt am 17.5.2023; anderes:</v>
      </c>
      <c r="C90" s="55"/>
      <c r="D90" s="54"/>
      <c r="E90" s="1365"/>
      <c r="F90" s="1365"/>
      <c r="G90" s="486"/>
      <c r="H90" s="916" t="str">
        <f ca="1">CONCATENATE(TEXT(TODAY(),"T.M.JJ")," / Tool 2024 (","V 30.04.2023)")</f>
        <v>17.5.23 / Tool 2024 (V 30.04.2023)</v>
      </c>
      <c r="I90" s="331"/>
      <c r="T90" s="48"/>
      <c r="U90" s="48"/>
    </row>
    <row r="91" spans="1:23" ht="7.5" customHeight="1" x14ac:dyDescent="0.25">
      <c r="I91" s="331"/>
      <c r="N91" s="354"/>
      <c r="O91" s="48"/>
      <c r="T91" s="48"/>
      <c r="U91" s="48"/>
    </row>
    <row r="92" spans="1:23" ht="22.5" customHeight="1" x14ac:dyDescent="0.25">
      <c r="A92" s="1364" t="str">
        <f>Übersetzungen!D298</f>
        <v>* Aufgrund des Urteils A-4467/2011 des Bundesverwaltungsgerichts darf das Sparguthaben gegenüber Dritten,
  namentlich gegenüber dem Arbeitgeber, ohne Ermächtigung des Versicherten nicht ausgewiesen werden.</v>
      </c>
      <c r="B92" s="1364"/>
      <c r="C92" s="1364"/>
      <c r="D92" s="1364"/>
      <c r="E92" s="1364"/>
      <c r="F92" s="1364"/>
      <c r="G92" s="1364"/>
      <c r="H92" s="1364"/>
      <c r="I92" s="331"/>
      <c r="K92" s="180"/>
      <c r="N92" s="354"/>
      <c r="O92" s="48"/>
      <c r="T92" s="48"/>
      <c r="U92" s="48"/>
    </row>
    <row r="93" spans="1:23" ht="22.5" customHeight="1" x14ac:dyDescent="0.25"/>
    <row r="96" spans="1:23" ht="15.75" customHeight="1" x14ac:dyDescent="0.25">
      <c r="K96" s="180"/>
    </row>
  </sheetData>
  <sheetProtection algorithmName="SHA-512" hashValue="kKXgQBizIFmOcTepze2hQtjsADb8JbppoHqfCg7WV3kTOTWzlK/qOOhpjlyRJTWlSYhr8xkc2mWHV2ft04PCKg==" saltValue="6gB6ocshWVhBC34otPzOFg==" spinCount="100000" sheet="1" objects="1" scenarios="1" selectLockedCells="1"/>
  <mergeCells count="13">
    <mergeCell ref="N1:P1"/>
    <mergeCell ref="A1:C1"/>
    <mergeCell ref="A92:H92"/>
    <mergeCell ref="E90:F90"/>
    <mergeCell ref="E6:G6"/>
    <mergeCell ref="E7:F7"/>
    <mergeCell ref="E89:F89"/>
    <mergeCell ref="E87:F87"/>
    <mergeCell ref="E8:F8"/>
    <mergeCell ref="E9:F9"/>
    <mergeCell ref="E10:F10"/>
    <mergeCell ref="E88:F88"/>
    <mergeCell ref="B33:H33"/>
  </mergeCells>
  <phoneticPr fontId="2" type="noConversion"/>
  <conditionalFormatting sqref="E23">
    <cfRule type="expression" dxfId="34" priority="1" stopIfTrue="1">
      <formula>K9=2</formula>
    </cfRule>
  </conditionalFormatting>
  <conditionalFormatting sqref="F71:G72 E72 H71:H76 I70:I75">
    <cfRule type="expression" dxfId="33" priority="2" stopIfTrue="1">
      <formula>$E$72=0</formula>
    </cfRule>
  </conditionalFormatting>
  <conditionalFormatting sqref="J56:J60 J62:J68">
    <cfRule type="cellIs" dxfId="32" priority="7" stopIfTrue="1" operator="greaterThan">
      <formula>#REF!</formula>
    </cfRule>
  </conditionalFormatting>
  <conditionalFormatting sqref="E41 E43:E44 E39 F44:G44">
    <cfRule type="cellIs" dxfId="31" priority="8" stopIfTrue="1" operator="equal">
      <formula>0</formula>
    </cfRule>
  </conditionalFormatting>
  <conditionalFormatting sqref="B44:C44">
    <cfRule type="expression" dxfId="30" priority="9" stopIfTrue="1">
      <formula>$F$44&lt;0.05</formula>
    </cfRule>
  </conditionalFormatting>
  <conditionalFormatting sqref="D44">
    <cfRule type="expression" dxfId="29" priority="10" stopIfTrue="1">
      <formula>$J$38&lt;0.05</formula>
    </cfRule>
  </conditionalFormatting>
  <conditionalFormatting sqref="B23:D23">
    <cfRule type="expression" dxfId="28" priority="11" stopIfTrue="1">
      <formula>$K$9=2</formula>
    </cfRule>
  </conditionalFormatting>
  <conditionalFormatting sqref="E71">
    <cfRule type="expression" dxfId="27" priority="15" stopIfTrue="1">
      <formula>$E$72=0</formula>
    </cfRule>
    <cfRule type="expression" dxfId="26" priority="16" stopIfTrue="1">
      <formula>$J$71&gt;$J$72</formula>
    </cfRule>
  </conditionalFormatting>
  <dataValidations count="2">
    <dataValidation type="date" operator="greaterThan" allowBlank="1" showInputMessage="1" showErrorMessage="1" error="Frühestens ab 1.1.2012" sqref="E15">
      <formula1>40908</formula1>
    </dataValidation>
    <dataValidation type="list" allowBlank="1" showInputMessage="1" showErrorMessage="1" sqref="K59">
      <formula1>$L$59:$L$60</formula1>
    </dataValidation>
  </dataValidations>
  <pageMargins left="0.59055118110236227" right="0.59055118110236227" top="0.39370078740157483" bottom="0.19685039370078741" header="0.39370078740157483" footer="0.51181102362204722"/>
  <pageSetup paperSize="9" orientation="portrait" r:id="rId1"/>
  <customProperties>
    <customPr name="SSCSheetTrackingNo"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431" r:id="rId5" name="Drop Down 407">
              <controlPr defaultSize="0" autoLine="0" autoPict="0">
                <anchor moveWithCells="1">
                  <from>
                    <xdr:col>4</xdr:col>
                    <xdr:colOff>0</xdr:colOff>
                    <xdr:row>11</xdr:row>
                    <xdr:rowOff>0</xdr:rowOff>
                  </from>
                  <to>
                    <xdr:col>6</xdr:col>
                    <xdr:colOff>0</xdr:colOff>
                    <xdr:row>12</xdr:row>
                    <xdr:rowOff>0</xdr:rowOff>
                  </to>
                </anchor>
              </controlPr>
            </control>
          </mc:Choice>
        </mc:AlternateContent>
        <mc:AlternateContent xmlns:mc="http://schemas.openxmlformats.org/markup-compatibility/2006">
          <mc:Choice Requires="x14">
            <control shapeId="1432" r:id="rId6" name="Drop Down 408">
              <controlPr defaultSize="0" autoLine="0" autoPict="0">
                <anchor moveWithCells="1">
                  <from>
                    <xdr:col>4</xdr:col>
                    <xdr:colOff>0</xdr:colOff>
                    <xdr:row>12</xdr:row>
                    <xdr:rowOff>0</xdr:rowOff>
                  </from>
                  <to>
                    <xdr:col>5</xdr:col>
                    <xdr:colOff>830580</xdr:colOff>
                    <xdr:row>13</xdr:row>
                    <xdr:rowOff>0</xdr:rowOff>
                  </to>
                </anchor>
              </controlPr>
            </control>
          </mc:Choice>
        </mc:AlternateContent>
        <mc:AlternateContent xmlns:mc="http://schemas.openxmlformats.org/markup-compatibility/2006">
          <mc:Choice Requires="x14">
            <control shapeId="1437" r:id="rId7" name="Drop Down 413">
              <controlPr defaultSize="0" autoLine="0" autoPict="0">
                <anchor moveWithCells="1">
                  <from>
                    <xdr:col>4</xdr:col>
                    <xdr:colOff>0</xdr:colOff>
                    <xdr:row>19</xdr:row>
                    <xdr:rowOff>0</xdr:rowOff>
                  </from>
                  <to>
                    <xdr:col>6</xdr:col>
                    <xdr:colOff>0</xdr:colOff>
                    <xdr:row>20</xdr:row>
                    <xdr:rowOff>0</xdr:rowOff>
                  </to>
                </anchor>
              </controlPr>
            </control>
          </mc:Choice>
        </mc:AlternateContent>
        <mc:AlternateContent xmlns:mc="http://schemas.openxmlformats.org/markup-compatibility/2006">
          <mc:Choice Requires="x14">
            <control shapeId="1438" r:id="rId8" name="Drop Down 414">
              <controlPr defaultSize="0" autoLine="0" autoPict="0">
                <anchor moveWithCells="1">
                  <from>
                    <xdr:col>4</xdr:col>
                    <xdr:colOff>0</xdr:colOff>
                    <xdr:row>20</xdr:row>
                    <xdr:rowOff>0</xdr:rowOff>
                  </from>
                  <to>
                    <xdr:col>6</xdr:col>
                    <xdr:colOff>0</xdr:colOff>
                    <xdr:row>21</xdr:row>
                    <xdr:rowOff>0</xdr:rowOff>
                  </to>
                </anchor>
              </controlPr>
            </control>
          </mc:Choice>
        </mc:AlternateContent>
        <mc:AlternateContent xmlns:mc="http://schemas.openxmlformats.org/markup-compatibility/2006">
          <mc:Choice Requires="x14">
            <control shapeId="1439" r:id="rId9" name="Drop Down 415">
              <controlPr defaultSize="0" autoLine="0" autoPict="0">
                <anchor moveWithCells="1">
                  <from>
                    <xdr:col>4</xdr:col>
                    <xdr:colOff>0</xdr:colOff>
                    <xdr:row>21</xdr:row>
                    <xdr:rowOff>0</xdr:rowOff>
                  </from>
                  <to>
                    <xdr:col>6</xdr:col>
                    <xdr:colOff>0</xdr:colOff>
                    <xdr:row>22</xdr:row>
                    <xdr:rowOff>0</xdr:rowOff>
                  </to>
                </anchor>
              </controlPr>
            </control>
          </mc:Choice>
        </mc:AlternateContent>
        <mc:AlternateContent xmlns:mc="http://schemas.openxmlformats.org/markup-compatibility/2006">
          <mc:Choice Requires="x14">
            <control shapeId="1440" r:id="rId10" name="Drop Down 416">
              <controlPr defaultSize="0" autoLine="0" autoPict="0">
                <anchor moveWithCells="1">
                  <from>
                    <xdr:col>4</xdr:col>
                    <xdr:colOff>0</xdr:colOff>
                    <xdr:row>27</xdr:row>
                    <xdr:rowOff>0</xdr:rowOff>
                  </from>
                  <to>
                    <xdr:col>6</xdr:col>
                    <xdr:colOff>0</xdr:colOff>
                    <xdr:row>28</xdr:row>
                    <xdr:rowOff>0</xdr:rowOff>
                  </to>
                </anchor>
              </controlPr>
            </control>
          </mc:Choice>
        </mc:AlternateContent>
        <mc:AlternateContent xmlns:mc="http://schemas.openxmlformats.org/markup-compatibility/2006">
          <mc:Choice Requires="x14">
            <control shapeId="1441" r:id="rId11" name="Drop Down 417">
              <controlPr defaultSize="0" autoLine="0" autoPict="0">
                <anchor moveWithCells="1">
                  <from>
                    <xdr:col>4</xdr:col>
                    <xdr:colOff>0</xdr:colOff>
                    <xdr:row>28</xdr:row>
                    <xdr:rowOff>0</xdr:rowOff>
                  </from>
                  <to>
                    <xdr:col>6</xdr:col>
                    <xdr:colOff>0</xdr:colOff>
                    <xdr:row>29</xdr:row>
                    <xdr:rowOff>0</xdr:rowOff>
                  </to>
                </anchor>
              </controlPr>
            </control>
          </mc:Choice>
        </mc:AlternateContent>
        <mc:AlternateContent xmlns:mc="http://schemas.openxmlformats.org/markup-compatibility/2006">
          <mc:Choice Requires="x14">
            <control shapeId="1442" r:id="rId12" name="Drop Down 418">
              <controlPr defaultSize="0" autoLine="0" autoPict="0">
                <anchor moveWithCells="1">
                  <from>
                    <xdr:col>4</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1443" r:id="rId13" name="Drop Down 419">
              <controlPr defaultSize="0" autoLine="0" autoPict="0">
                <anchor moveWithCells="1">
                  <from>
                    <xdr:col>4</xdr:col>
                    <xdr:colOff>0</xdr:colOff>
                    <xdr:row>31</xdr:row>
                    <xdr:rowOff>0</xdr:rowOff>
                  </from>
                  <to>
                    <xdr:col>6</xdr:col>
                    <xdr:colOff>0</xdr:colOff>
                    <xdr:row>32</xdr:row>
                    <xdr:rowOff>0</xdr:rowOff>
                  </to>
                </anchor>
              </controlPr>
            </control>
          </mc:Choice>
        </mc:AlternateContent>
        <mc:AlternateContent xmlns:mc="http://schemas.openxmlformats.org/markup-compatibility/2006">
          <mc:Choice Requires="x14">
            <control shapeId="1445" r:id="rId14" name="Drop Down 421">
              <controlPr defaultSize="0" autoLine="0" autoPict="0">
                <anchor moveWithCells="1">
                  <from>
                    <xdr:col>4</xdr:col>
                    <xdr:colOff>0</xdr:colOff>
                    <xdr:row>30</xdr:row>
                    <xdr:rowOff>0</xdr:rowOff>
                  </from>
                  <to>
                    <xdr:col>6</xdr:col>
                    <xdr:colOff>0</xdr:colOff>
                    <xdr:row>31</xdr:row>
                    <xdr:rowOff>0</xdr:rowOff>
                  </to>
                </anchor>
              </controlPr>
            </control>
          </mc:Choice>
        </mc:AlternateContent>
        <mc:AlternateContent xmlns:mc="http://schemas.openxmlformats.org/markup-compatibility/2006">
          <mc:Choice Requires="x14">
            <control shapeId="1446" r:id="rId15" name="Drop Down 422">
              <controlPr defaultSize="0" autoLine="0" autoPict="0">
                <anchor moveWithCells="1">
                  <from>
                    <xdr:col>7</xdr:col>
                    <xdr:colOff>0</xdr:colOff>
                    <xdr:row>27</xdr:row>
                    <xdr:rowOff>0</xdr:rowOff>
                  </from>
                  <to>
                    <xdr:col>7</xdr:col>
                    <xdr:colOff>502920</xdr:colOff>
                    <xdr:row>28</xdr:row>
                    <xdr:rowOff>0</xdr:rowOff>
                  </to>
                </anchor>
              </controlPr>
            </control>
          </mc:Choice>
        </mc:AlternateContent>
        <mc:AlternateContent xmlns:mc="http://schemas.openxmlformats.org/markup-compatibility/2006">
          <mc:Choice Requires="x14">
            <control shapeId="1447" r:id="rId16" name="Drop Down 423">
              <controlPr defaultSize="0" autoLine="0" autoPict="0">
                <anchor moveWithCells="1">
                  <from>
                    <xdr:col>4</xdr:col>
                    <xdr:colOff>7620</xdr:colOff>
                    <xdr:row>85</xdr:row>
                    <xdr:rowOff>0</xdr:rowOff>
                  </from>
                  <to>
                    <xdr:col>4</xdr:col>
                    <xdr:colOff>769620</xdr:colOff>
                    <xdr:row>86</xdr:row>
                    <xdr:rowOff>0</xdr:rowOff>
                  </to>
                </anchor>
              </controlPr>
            </control>
          </mc:Choice>
        </mc:AlternateContent>
        <mc:AlternateContent xmlns:mc="http://schemas.openxmlformats.org/markup-compatibility/2006">
          <mc:Choice Requires="x14">
            <control shapeId="1448" r:id="rId17" name="Drop Down 424">
              <controlPr defaultSize="0" autoLine="0" autoPict="0">
                <anchor moveWithCells="1">
                  <from>
                    <xdr:col>7</xdr:col>
                    <xdr:colOff>411480</xdr:colOff>
                    <xdr:row>85</xdr:row>
                    <xdr:rowOff>0</xdr:rowOff>
                  </from>
                  <to>
                    <xdr:col>8</xdr:col>
                    <xdr:colOff>0</xdr:colOff>
                    <xdr:row>86</xdr:row>
                    <xdr:rowOff>0</xdr:rowOff>
                  </to>
                </anchor>
              </controlPr>
            </control>
          </mc:Choice>
        </mc:AlternateContent>
        <mc:AlternateContent xmlns:mc="http://schemas.openxmlformats.org/markup-compatibility/2006">
          <mc:Choice Requires="x14">
            <control shapeId="1449" r:id="rId18" name="Drop Down 425">
              <controlPr defaultSize="0" autoLine="0" autoPict="0">
                <anchor moveWithCells="1">
                  <from>
                    <xdr:col>3</xdr:col>
                    <xdr:colOff>45720</xdr:colOff>
                    <xdr:row>0</xdr:row>
                    <xdr:rowOff>30480</xdr:rowOff>
                  </from>
                  <to>
                    <xdr:col>3</xdr:col>
                    <xdr:colOff>1668780</xdr:colOff>
                    <xdr:row>0</xdr:row>
                    <xdr:rowOff>388620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fitToPage="1"/>
  </sheetPr>
  <dimension ref="A1:IV279"/>
  <sheetViews>
    <sheetView showGridLines="0" zoomScale="180" workbookViewId="0">
      <selection activeCell="D3" sqref="D3:E3"/>
    </sheetView>
  </sheetViews>
  <sheetFormatPr baseColWidth="10" defaultRowHeight="13.2" x14ac:dyDescent="0.25"/>
  <cols>
    <col min="1" max="1" width="5.44140625" style="33" customWidth="1"/>
    <col min="2" max="7" width="11.44140625" style="33"/>
    <col min="8" max="9" width="10.109375" style="33" customWidth="1"/>
    <col min="10" max="256" width="11.44140625" style="33"/>
    <col min="257" max="257" width="5.44140625" style="33" customWidth="1"/>
    <col min="258" max="263" width="11.44140625" style="33"/>
    <col min="264" max="265" width="10.109375" style="33" customWidth="1"/>
    <col min="266" max="512" width="11.44140625" style="33"/>
    <col min="513" max="513" width="5.44140625" style="33" customWidth="1"/>
    <col min="514" max="519" width="11.44140625" style="33"/>
    <col min="520" max="521" width="10.109375" style="33" customWidth="1"/>
    <col min="522" max="768" width="11.44140625" style="33"/>
    <col min="769" max="769" width="5.44140625" style="33" customWidth="1"/>
    <col min="770" max="775" width="11.44140625" style="33"/>
    <col min="776" max="777" width="10.109375" style="33" customWidth="1"/>
    <col min="778" max="1024" width="11.44140625" style="33"/>
    <col min="1025" max="1025" width="5.44140625" style="33" customWidth="1"/>
    <col min="1026" max="1031" width="11.44140625" style="33"/>
    <col min="1032" max="1033" width="10.109375" style="33" customWidth="1"/>
    <col min="1034" max="1280" width="11.44140625" style="33"/>
    <col min="1281" max="1281" width="5.44140625" style="33" customWidth="1"/>
    <col min="1282" max="1287" width="11.44140625" style="33"/>
    <col min="1288" max="1289" width="10.109375" style="33" customWidth="1"/>
    <col min="1290" max="1536" width="11.44140625" style="33"/>
    <col min="1537" max="1537" width="5.44140625" style="33" customWidth="1"/>
    <col min="1538" max="1543" width="11.44140625" style="33"/>
    <col min="1544" max="1545" width="10.109375" style="33" customWidth="1"/>
    <col min="1546" max="1792" width="11.44140625" style="33"/>
    <col min="1793" max="1793" width="5.44140625" style="33" customWidth="1"/>
    <col min="1794" max="1799" width="11.44140625" style="33"/>
    <col min="1800" max="1801" width="10.109375" style="33" customWidth="1"/>
    <col min="1802" max="2048" width="11.44140625" style="33"/>
    <col min="2049" max="2049" width="5.44140625" style="33" customWidth="1"/>
    <col min="2050" max="2055" width="11.44140625" style="33"/>
    <col min="2056" max="2057" width="10.109375" style="33" customWidth="1"/>
    <col min="2058" max="2304" width="11.44140625" style="33"/>
    <col min="2305" max="2305" width="5.44140625" style="33" customWidth="1"/>
    <col min="2306" max="2311" width="11.44140625" style="33"/>
    <col min="2312" max="2313" width="10.109375" style="33" customWidth="1"/>
    <col min="2314" max="2560" width="11.44140625" style="33"/>
    <col min="2561" max="2561" width="5.44140625" style="33" customWidth="1"/>
    <col min="2562" max="2567" width="11.44140625" style="33"/>
    <col min="2568" max="2569" width="10.109375" style="33" customWidth="1"/>
    <col min="2570" max="2816" width="11.44140625" style="33"/>
    <col min="2817" max="2817" width="5.44140625" style="33" customWidth="1"/>
    <col min="2818" max="2823" width="11.44140625" style="33"/>
    <col min="2824" max="2825" width="10.109375" style="33" customWidth="1"/>
    <col min="2826" max="3072" width="11.44140625" style="33"/>
    <col min="3073" max="3073" width="5.44140625" style="33" customWidth="1"/>
    <col min="3074" max="3079" width="11.44140625" style="33"/>
    <col min="3080" max="3081" width="10.109375" style="33" customWidth="1"/>
    <col min="3082" max="3328" width="11.44140625" style="33"/>
    <col min="3329" max="3329" width="5.44140625" style="33" customWidth="1"/>
    <col min="3330" max="3335" width="11.44140625" style="33"/>
    <col min="3336" max="3337" width="10.109375" style="33" customWidth="1"/>
    <col min="3338" max="3584" width="11.44140625" style="33"/>
    <col min="3585" max="3585" width="5.44140625" style="33" customWidth="1"/>
    <col min="3586" max="3591" width="11.44140625" style="33"/>
    <col min="3592" max="3593" width="10.109375" style="33" customWidth="1"/>
    <col min="3594" max="3840" width="11.44140625" style="33"/>
    <col min="3841" max="3841" width="5.44140625" style="33" customWidth="1"/>
    <col min="3842" max="3847" width="11.44140625" style="33"/>
    <col min="3848" max="3849" width="10.109375" style="33" customWidth="1"/>
    <col min="3850" max="4096" width="11.44140625" style="33"/>
    <col min="4097" max="4097" width="5.44140625" style="33" customWidth="1"/>
    <col min="4098" max="4103" width="11.44140625" style="33"/>
    <col min="4104" max="4105" width="10.109375" style="33" customWidth="1"/>
    <col min="4106" max="4352" width="11.44140625" style="33"/>
    <col min="4353" max="4353" width="5.44140625" style="33" customWidth="1"/>
    <col min="4354" max="4359" width="11.44140625" style="33"/>
    <col min="4360" max="4361" width="10.109375" style="33" customWidth="1"/>
    <col min="4362" max="4608" width="11.44140625" style="33"/>
    <col min="4609" max="4609" width="5.44140625" style="33" customWidth="1"/>
    <col min="4610" max="4615" width="11.44140625" style="33"/>
    <col min="4616" max="4617" width="10.109375" style="33" customWidth="1"/>
    <col min="4618" max="4864" width="11.44140625" style="33"/>
    <col min="4865" max="4865" width="5.44140625" style="33" customWidth="1"/>
    <col min="4866" max="4871" width="11.44140625" style="33"/>
    <col min="4872" max="4873" width="10.109375" style="33" customWidth="1"/>
    <col min="4874" max="5120" width="11.44140625" style="33"/>
    <col min="5121" max="5121" width="5.44140625" style="33" customWidth="1"/>
    <col min="5122" max="5127" width="11.44140625" style="33"/>
    <col min="5128" max="5129" width="10.109375" style="33" customWidth="1"/>
    <col min="5130" max="5376" width="11.44140625" style="33"/>
    <col min="5377" max="5377" width="5.44140625" style="33" customWidth="1"/>
    <col min="5378" max="5383" width="11.44140625" style="33"/>
    <col min="5384" max="5385" width="10.109375" style="33" customWidth="1"/>
    <col min="5386" max="5632" width="11.44140625" style="33"/>
    <col min="5633" max="5633" width="5.44140625" style="33" customWidth="1"/>
    <col min="5634" max="5639" width="11.44140625" style="33"/>
    <col min="5640" max="5641" width="10.109375" style="33" customWidth="1"/>
    <col min="5642" max="5888" width="11.44140625" style="33"/>
    <col min="5889" max="5889" width="5.44140625" style="33" customWidth="1"/>
    <col min="5890" max="5895" width="11.44140625" style="33"/>
    <col min="5896" max="5897" width="10.109375" style="33" customWidth="1"/>
    <col min="5898" max="6144" width="11.44140625" style="33"/>
    <col min="6145" max="6145" width="5.44140625" style="33" customWidth="1"/>
    <col min="6146" max="6151" width="11.44140625" style="33"/>
    <col min="6152" max="6153" width="10.109375" style="33" customWidth="1"/>
    <col min="6154" max="6400" width="11.44140625" style="33"/>
    <col min="6401" max="6401" width="5.44140625" style="33" customWidth="1"/>
    <col min="6402" max="6407" width="11.44140625" style="33"/>
    <col min="6408" max="6409" width="10.109375" style="33" customWidth="1"/>
    <col min="6410" max="6656" width="11.44140625" style="33"/>
    <col min="6657" max="6657" width="5.44140625" style="33" customWidth="1"/>
    <col min="6658" max="6663" width="11.44140625" style="33"/>
    <col min="6664" max="6665" width="10.109375" style="33" customWidth="1"/>
    <col min="6666" max="6912" width="11.44140625" style="33"/>
    <col min="6913" max="6913" width="5.44140625" style="33" customWidth="1"/>
    <col min="6914" max="6919" width="11.44140625" style="33"/>
    <col min="6920" max="6921" width="10.109375" style="33" customWidth="1"/>
    <col min="6922" max="7168" width="11.44140625" style="33"/>
    <col min="7169" max="7169" width="5.44140625" style="33" customWidth="1"/>
    <col min="7170" max="7175" width="11.44140625" style="33"/>
    <col min="7176" max="7177" width="10.109375" style="33" customWidth="1"/>
    <col min="7178" max="7424" width="11.44140625" style="33"/>
    <col min="7425" max="7425" width="5.44140625" style="33" customWidth="1"/>
    <col min="7426" max="7431" width="11.44140625" style="33"/>
    <col min="7432" max="7433" width="10.109375" style="33" customWidth="1"/>
    <col min="7434" max="7680" width="11.44140625" style="33"/>
    <col min="7681" max="7681" width="5.44140625" style="33" customWidth="1"/>
    <col min="7682" max="7687" width="11.44140625" style="33"/>
    <col min="7688" max="7689" width="10.109375" style="33" customWidth="1"/>
    <col min="7690" max="7936" width="11.44140625" style="33"/>
    <col min="7937" max="7937" width="5.44140625" style="33" customWidth="1"/>
    <col min="7938" max="7943" width="11.44140625" style="33"/>
    <col min="7944" max="7945" width="10.109375" style="33" customWidth="1"/>
    <col min="7946" max="8192" width="11.44140625" style="33"/>
    <col min="8193" max="8193" width="5.44140625" style="33" customWidth="1"/>
    <col min="8194" max="8199" width="11.44140625" style="33"/>
    <col min="8200" max="8201" width="10.109375" style="33" customWidth="1"/>
    <col min="8202" max="8448" width="11.44140625" style="33"/>
    <col min="8449" max="8449" width="5.44140625" style="33" customWidth="1"/>
    <col min="8450" max="8455" width="11.44140625" style="33"/>
    <col min="8456" max="8457" width="10.109375" style="33" customWidth="1"/>
    <col min="8458" max="8704" width="11.44140625" style="33"/>
    <col min="8705" max="8705" width="5.44140625" style="33" customWidth="1"/>
    <col min="8706" max="8711" width="11.44140625" style="33"/>
    <col min="8712" max="8713" width="10.109375" style="33" customWidth="1"/>
    <col min="8714" max="8960" width="11.44140625" style="33"/>
    <col min="8961" max="8961" width="5.44140625" style="33" customWidth="1"/>
    <col min="8962" max="8967" width="11.44140625" style="33"/>
    <col min="8968" max="8969" width="10.109375" style="33" customWidth="1"/>
    <col min="8970" max="9216" width="11.44140625" style="33"/>
    <col min="9217" max="9217" width="5.44140625" style="33" customWidth="1"/>
    <col min="9218" max="9223" width="11.44140625" style="33"/>
    <col min="9224" max="9225" width="10.109375" style="33" customWidth="1"/>
    <col min="9226" max="9472" width="11.44140625" style="33"/>
    <col min="9473" max="9473" width="5.44140625" style="33" customWidth="1"/>
    <col min="9474" max="9479" width="11.44140625" style="33"/>
    <col min="9480" max="9481" width="10.109375" style="33" customWidth="1"/>
    <col min="9482" max="9728" width="11.44140625" style="33"/>
    <col min="9729" max="9729" width="5.44140625" style="33" customWidth="1"/>
    <col min="9730" max="9735" width="11.44140625" style="33"/>
    <col min="9736" max="9737" width="10.109375" style="33" customWidth="1"/>
    <col min="9738" max="9984" width="11.44140625" style="33"/>
    <col min="9985" max="9985" width="5.44140625" style="33" customWidth="1"/>
    <col min="9986" max="9991" width="11.44140625" style="33"/>
    <col min="9992" max="9993" width="10.109375" style="33" customWidth="1"/>
    <col min="9994" max="10240" width="11.44140625" style="33"/>
    <col min="10241" max="10241" width="5.44140625" style="33" customWidth="1"/>
    <col min="10242" max="10247" width="11.44140625" style="33"/>
    <col min="10248" max="10249" width="10.109375" style="33" customWidth="1"/>
    <col min="10250" max="10496" width="11.44140625" style="33"/>
    <col min="10497" max="10497" width="5.44140625" style="33" customWidth="1"/>
    <col min="10498" max="10503" width="11.44140625" style="33"/>
    <col min="10504" max="10505" width="10.109375" style="33" customWidth="1"/>
    <col min="10506" max="10752" width="11.44140625" style="33"/>
    <col min="10753" max="10753" width="5.44140625" style="33" customWidth="1"/>
    <col min="10754" max="10759" width="11.44140625" style="33"/>
    <col min="10760" max="10761" width="10.109375" style="33" customWidth="1"/>
    <col min="10762" max="11008" width="11.44140625" style="33"/>
    <col min="11009" max="11009" width="5.44140625" style="33" customWidth="1"/>
    <col min="11010" max="11015" width="11.44140625" style="33"/>
    <col min="11016" max="11017" width="10.109375" style="33" customWidth="1"/>
    <col min="11018" max="11264" width="11.44140625" style="33"/>
    <col min="11265" max="11265" width="5.44140625" style="33" customWidth="1"/>
    <col min="11266" max="11271" width="11.44140625" style="33"/>
    <col min="11272" max="11273" width="10.109375" style="33" customWidth="1"/>
    <col min="11274" max="11520" width="11.44140625" style="33"/>
    <col min="11521" max="11521" width="5.44140625" style="33" customWidth="1"/>
    <col min="11522" max="11527" width="11.44140625" style="33"/>
    <col min="11528" max="11529" width="10.109375" style="33" customWidth="1"/>
    <col min="11530" max="11776" width="11.44140625" style="33"/>
    <col min="11777" max="11777" width="5.44140625" style="33" customWidth="1"/>
    <col min="11778" max="11783" width="11.44140625" style="33"/>
    <col min="11784" max="11785" width="10.109375" style="33" customWidth="1"/>
    <col min="11786" max="12032" width="11.44140625" style="33"/>
    <col min="12033" max="12033" width="5.44140625" style="33" customWidth="1"/>
    <col min="12034" max="12039" width="11.44140625" style="33"/>
    <col min="12040" max="12041" width="10.109375" style="33" customWidth="1"/>
    <col min="12042" max="12288" width="11.44140625" style="33"/>
    <col min="12289" max="12289" width="5.44140625" style="33" customWidth="1"/>
    <col min="12290" max="12295" width="11.44140625" style="33"/>
    <col min="12296" max="12297" width="10.109375" style="33" customWidth="1"/>
    <col min="12298" max="12544" width="11.44140625" style="33"/>
    <col min="12545" max="12545" width="5.44140625" style="33" customWidth="1"/>
    <col min="12546" max="12551" width="11.44140625" style="33"/>
    <col min="12552" max="12553" width="10.109375" style="33" customWidth="1"/>
    <col min="12554" max="12800" width="11.44140625" style="33"/>
    <col min="12801" max="12801" width="5.44140625" style="33" customWidth="1"/>
    <col min="12802" max="12807" width="11.44140625" style="33"/>
    <col min="12808" max="12809" width="10.109375" style="33" customWidth="1"/>
    <col min="12810" max="13056" width="11.44140625" style="33"/>
    <col min="13057" max="13057" width="5.44140625" style="33" customWidth="1"/>
    <col min="13058" max="13063" width="11.44140625" style="33"/>
    <col min="13064" max="13065" width="10.109375" style="33" customWidth="1"/>
    <col min="13066" max="13312" width="11.44140625" style="33"/>
    <col min="13313" max="13313" width="5.44140625" style="33" customWidth="1"/>
    <col min="13314" max="13319" width="11.44140625" style="33"/>
    <col min="13320" max="13321" width="10.109375" style="33" customWidth="1"/>
    <col min="13322" max="13568" width="11.44140625" style="33"/>
    <col min="13569" max="13569" width="5.44140625" style="33" customWidth="1"/>
    <col min="13570" max="13575" width="11.44140625" style="33"/>
    <col min="13576" max="13577" width="10.109375" style="33" customWidth="1"/>
    <col min="13578" max="13824" width="11.44140625" style="33"/>
    <col min="13825" max="13825" width="5.44140625" style="33" customWidth="1"/>
    <col min="13826" max="13831" width="11.44140625" style="33"/>
    <col min="13832" max="13833" width="10.109375" style="33" customWidth="1"/>
    <col min="13834" max="14080" width="11.44140625" style="33"/>
    <col min="14081" max="14081" width="5.44140625" style="33" customWidth="1"/>
    <col min="14082" max="14087" width="11.44140625" style="33"/>
    <col min="14088" max="14089" width="10.109375" style="33" customWidth="1"/>
    <col min="14090" max="14336" width="11.44140625" style="33"/>
    <col min="14337" max="14337" width="5.44140625" style="33" customWidth="1"/>
    <col min="14338" max="14343" width="11.44140625" style="33"/>
    <col min="14344" max="14345" width="10.109375" style="33" customWidth="1"/>
    <col min="14346" max="14592" width="11.44140625" style="33"/>
    <col min="14593" max="14593" width="5.44140625" style="33" customWidth="1"/>
    <col min="14594" max="14599" width="11.44140625" style="33"/>
    <col min="14600" max="14601" width="10.109375" style="33" customWidth="1"/>
    <col min="14602" max="14848" width="11.44140625" style="33"/>
    <col min="14849" max="14849" width="5.44140625" style="33" customWidth="1"/>
    <col min="14850" max="14855" width="11.44140625" style="33"/>
    <col min="14856" max="14857" width="10.109375" style="33" customWidth="1"/>
    <col min="14858" max="15104" width="11.44140625" style="33"/>
    <col min="15105" max="15105" width="5.44140625" style="33" customWidth="1"/>
    <col min="15106" max="15111" width="11.44140625" style="33"/>
    <col min="15112" max="15113" width="10.109375" style="33" customWidth="1"/>
    <col min="15114" max="15360" width="11.44140625" style="33"/>
    <col min="15361" max="15361" width="5.44140625" style="33" customWidth="1"/>
    <col min="15362" max="15367" width="11.44140625" style="33"/>
    <col min="15368" max="15369" width="10.109375" style="33" customWidth="1"/>
    <col min="15370" max="15616" width="11.44140625" style="33"/>
    <col min="15617" max="15617" width="5.44140625" style="33" customWidth="1"/>
    <col min="15618" max="15623" width="11.44140625" style="33"/>
    <col min="15624" max="15625" width="10.109375" style="33" customWidth="1"/>
    <col min="15626" max="15872" width="11.44140625" style="33"/>
    <col min="15873" max="15873" width="5.44140625" style="33" customWidth="1"/>
    <col min="15874" max="15879" width="11.44140625" style="33"/>
    <col min="15880" max="15881" width="10.109375" style="33" customWidth="1"/>
    <col min="15882" max="16128" width="11.44140625" style="33"/>
    <col min="16129" max="16129" width="5.44140625" style="33" customWidth="1"/>
    <col min="16130" max="16135" width="11.44140625" style="33"/>
    <col min="16136" max="16137" width="10.109375" style="33" customWidth="1"/>
    <col min="16138" max="16384" width="11.44140625" style="33"/>
  </cols>
  <sheetData>
    <row r="1" spans="1:256" ht="12.75" customHeight="1" x14ac:dyDescent="0.3">
      <c r="A1" s="1449" t="str">
        <f>IF(J3=1,"SI PREGA DI COMPILARE IL FOGLIO 'DATORE DI LAVORO!'","")</f>
        <v/>
      </c>
      <c r="B1" s="1449"/>
      <c r="C1" s="1449"/>
      <c r="D1" s="1449"/>
      <c r="E1" s="1449"/>
      <c r="F1" s="1449"/>
      <c r="G1" s="1449"/>
      <c r="H1" s="1449"/>
      <c r="I1" s="1449"/>
    </row>
    <row r="2" spans="1:256" ht="6.75" customHeight="1" x14ac:dyDescent="0.25"/>
    <row r="3" spans="1:256" x14ac:dyDescent="0.25">
      <c r="A3" s="1178" t="s">
        <v>3479</v>
      </c>
      <c r="D3" s="1450" t="s">
        <v>78</v>
      </c>
      <c r="E3" s="1450"/>
      <c r="J3" s="1179">
        <f>Input!K5</f>
        <v>2</v>
      </c>
    </row>
    <row r="4" spans="1:256" ht="34.5" customHeight="1" x14ac:dyDescent="0.25"/>
    <row r="5" spans="1:256" ht="19.5" customHeight="1" x14ac:dyDescent="0.25">
      <c r="A5" s="1451" t="s">
        <v>3480</v>
      </c>
      <c r="B5" s="1451"/>
      <c r="C5" s="1451"/>
      <c r="D5" s="1451"/>
      <c r="E5" s="1451"/>
      <c r="F5" s="1451"/>
      <c r="G5" s="1451"/>
      <c r="H5" s="1451"/>
      <c r="I5" s="1451"/>
    </row>
    <row r="6" spans="1:256" ht="10.5" customHeight="1" x14ac:dyDescent="0.25">
      <c r="A6" s="1447"/>
      <c r="B6" s="1447"/>
      <c r="C6" s="1447"/>
      <c r="D6" s="1447"/>
      <c r="E6" s="1447"/>
      <c r="F6" s="1447"/>
      <c r="G6" s="1447"/>
      <c r="H6" s="1447"/>
    </row>
    <row r="7" spans="1:256" ht="12.75" customHeight="1" x14ac:dyDescent="0.25">
      <c r="A7" s="1180" t="s">
        <v>1140</v>
      </c>
      <c r="B7" s="1432" t="s">
        <v>3481</v>
      </c>
      <c r="C7" s="1432"/>
      <c r="D7" s="1432"/>
      <c r="E7" s="1432"/>
      <c r="F7" s="1432"/>
      <c r="G7" s="1432"/>
      <c r="H7" s="1432"/>
      <c r="I7" s="1432"/>
      <c r="J7" s="1448"/>
      <c r="K7" s="1448"/>
      <c r="L7" s="1448"/>
      <c r="M7" s="1448"/>
      <c r="N7" s="1448"/>
      <c r="O7" s="1448"/>
      <c r="P7" s="1448"/>
      <c r="Q7" s="1181"/>
      <c r="R7" s="1448"/>
      <c r="S7" s="1448"/>
      <c r="T7" s="1448"/>
      <c r="U7" s="1448"/>
      <c r="V7" s="1448"/>
      <c r="W7" s="1448"/>
      <c r="X7" s="1448"/>
      <c r="Y7" s="1181"/>
      <c r="Z7" s="1448"/>
      <c r="AA7" s="1448"/>
      <c r="AB7" s="1448"/>
      <c r="AC7" s="1448"/>
      <c r="AD7" s="1448"/>
      <c r="AE7" s="1448"/>
      <c r="AF7" s="1448"/>
      <c r="AG7" s="1181"/>
      <c r="AH7" s="1448"/>
      <c r="AI7" s="1448"/>
      <c r="AJ7" s="1448"/>
      <c r="AK7" s="1448"/>
      <c r="AL7" s="1448"/>
      <c r="AM7" s="1448"/>
      <c r="AN7" s="1448"/>
      <c r="AO7" s="1181"/>
      <c r="AP7" s="1448"/>
      <c r="AQ7" s="1448"/>
      <c r="AR7" s="1448"/>
      <c r="AS7" s="1448"/>
      <c r="AT7" s="1448"/>
      <c r="AU7" s="1448"/>
      <c r="AV7" s="1448"/>
      <c r="AW7" s="1181"/>
      <c r="AX7" s="1448"/>
      <c r="AY7" s="1448"/>
      <c r="AZ7" s="1448"/>
      <c r="BA7" s="1448"/>
      <c r="BB7" s="1448"/>
      <c r="BC7" s="1448"/>
      <c r="BD7" s="1448"/>
      <c r="BE7" s="1181"/>
      <c r="BF7" s="1448"/>
      <c r="BG7" s="1448"/>
      <c r="BH7" s="1448"/>
      <c r="BI7" s="1448"/>
      <c r="BJ7" s="1448"/>
      <c r="BK7" s="1448"/>
      <c r="BL7" s="1448"/>
      <c r="BM7" s="1181"/>
      <c r="BN7" s="1448"/>
      <c r="BO7" s="1448"/>
      <c r="BP7" s="1448"/>
      <c r="BQ7" s="1448"/>
      <c r="BR7" s="1448"/>
      <c r="BS7" s="1448"/>
      <c r="BT7" s="1448"/>
      <c r="BU7" s="1181"/>
      <c r="BV7" s="1448"/>
      <c r="BW7" s="1448"/>
      <c r="BX7" s="1448"/>
      <c r="BY7" s="1448"/>
      <c r="BZ7" s="1448"/>
      <c r="CA7" s="1448"/>
      <c r="CB7" s="1448"/>
      <c r="CC7" s="1181"/>
      <c r="CD7" s="1448"/>
      <c r="CE7" s="1448"/>
      <c r="CF7" s="1448"/>
      <c r="CG7" s="1448"/>
      <c r="CH7" s="1448"/>
      <c r="CI7" s="1448"/>
      <c r="CJ7" s="1448"/>
      <c r="CK7" s="1181"/>
      <c r="CL7" s="1448"/>
      <c r="CM7" s="1448"/>
      <c r="CN7" s="1448"/>
      <c r="CO7" s="1448"/>
      <c r="CP7" s="1448"/>
      <c r="CQ7" s="1448"/>
      <c r="CR7" s="1448"/>
      <c r="CS7" s="1181"/>
      <c r="CT7" s="1448"/>
      <c r="CU7" s="1448"/>
      <c r="CV7" s="1448"/>
      <c r="CW7" s="1448"/>
      <c r="CX7" s="1448"/>
      <c r="CY7" s="1448"/>
      <c r="CZ7" s="1448"/>
      <c r="DA7" s="1181"/>
      <c r="DB7" s="1448"/>
      <c r="DC7" s="1448"/>
      <c r="DD7" s="1448"/>
      <c r="DE7" s="1448"/>
      <c r="DF7" s="1448"/>
      <c r="DG7" s="1448"/>
      <c r="DH7" s="1448"/>
      <c r="DI7" s="1181"/>
      <c r="DJ7" s="1448"/>
      <c r="DK7" s="1448"/>
      <c r="DL7" s="1448"/>
      <c r="DM7" s="1448"/>
      <c r="DN7" s="1448"/>
      <c r="DO7" s="1448"/>
      <c r="DP7" s="1448"/>
      <c r="DQ7" s="1181"/>
      <c r="DR7" s="1448"/>
      <c r="DS7" s="1448"/>
      <c r="DT7" s="1448"/>
      <c r="DU7" s="1448"/>
      <c r="DV7" s="1448"/>
      <c r="DW7" s="1448"/>
      <c r="DX7" s="1448"/>
      <c r="DY7" s="1181"/>
      <c r="DZ7" s="1448"/>
      <c r="EA7" s="1448"/>
      <c r="EB7" s="1448"/>
      <c r="EC7" s="1448"/>
      <c r="ED7" s="1448"/>
      <c r="EE7" s="1448"/>
      <c r="EF7" s="1448"/>
      <c r="EG7" s="1181"/>
      <c r="EH7" s="1448"/>
      <c r="EI7" s="1448"/>
      <c r="EJ7" s="1448"/>
      <c r="EK7" s="1448"/>
      <c r="EL7" s="1448"/>
      <c r="EM7" s="1448"/>
      <c r="EN7" s="1448"/>
      <c r="EO7" s="1181"/>
      <c r="EP7" s="1448"/>
      <c r="EQ7" s="1448"/>
      <c r="ER7" s="1448"/>
      <c r="ES7" s="1448"/>
      <c r="ET7" s="1448"/>
      <c r="EU7" s="1448"/>
      <c r="EV7" s="1448"/>
      <c r="EW7" s="1181"/>
      <c r="EX7" s="1448"/>
      <c r="EY7" s="1448"/>
      <c r="EZ7" s="1448"/>
      <c r="FA7" s="1448"/>
      <c r="FB7" s="1448"/>
      <c r="FC7" s="1448"/>
      <c r="FD7" s="1448"/>
      <c r="FE7" s="1181"/>
      <c r="FF7" s="1448"/>
      <c r="FG7" s="1448"/>
      <c r="FH7" s="1448"/>
      <c r="FI7" s="1448"/>
      <c r="FJ7" s="1448"/>
      <c r="FK7" s="1448"/>
      <c r="FL7" s="1448"/>
      <c r="FM7" s="1181"/>
      <c r="FN7" s="1448"/>
      <c r="FO7" s="1448"/>
      <c r="FP7" s="1448"/>
      <c r="FQ7" s="1448"/>
      <c r="FR7" s="1448"/>
      <c r="FS7" s="1448"/>
      <c r="FT7" s="1448"/>
      <c r="FU7" s="1181"/>
      <c r="FV7" s="1448"/>
      <c r="FW7" s="1448"/>
      <c r="FX7" s="1448"/>
      <c r="FY7" s="1448"/>
      <c r="FZ7" s="1448"/>
      <c r="GA7" s="1448"/>
      <c r="GB7" s="1448"/>
      <c r="GC7" s="1181"/>
      <c r="GD7" s="1448"/>
      <c r="GE7" s="1448"/>
      <c r="GF7" s="1448"/>
      <c r="GG7" s="1448"/>
      <c r="GH7" s="1448"/>
      <c r="GI7" s="1448"/>
      <c r="GJ7" s="1448"/>
      <c r="GK7" s="1181"/>
      <c r="GL7" s="1448"/>
      <c r="GM7" s="1448"/>
      <c r="GN7" s="1448"/>
      <c r="GO7" s="1448"/>
      <c r="GP7" s="1448"/>
      <c r="GQ7" s="1448"/>
      <c r="GR7" s="1448"/>
      <c r="GS7" s="1181"/>
      <c r="GT7" s="1448"/>
      <c r="GU7" s="1448"/>
      <c r="GV7" s="1448"/>
      <c r="GW7" s="1448"/>
      <c r="GX7" s="1448"/>
      <c r="GY7" s="1448"/>
      <c r="GZ7" s="1448"/>
      <c r="HA7" s="1181"/>
      <c r="HB7" s="1448"/>
      <c r="HC7" s="1448"/>
      <c r="HD7" s="1448"/>
      <c r="HE7" s="1448"/>
      <c r="HF7" s="1448"/>
      <c r="HG7" s="1448"/>
      <c r="HH7" s="1448"/>
      <c r="HI7" s="1181"/>
      <c r="HJ7" s="1448"/>
      <c r="HK7" s="1448"/>
      <c r="HL7" s="1448"/>
      <c r="HM7" s="1448"/>
      <c r="HN7" s="1448"/>
      <c r="HO7" s="1448"/>
      <c r="HP7" s="1448"/>
      <c r="HQ7" s="1181"/>
      <c r="HR7" s="1448"/>
      <c r="HS7" s="1448"/>
      <c r="HT7" s="1448"/>
      <c r="HU7" s="1448"/>
      <c r="HV7" s="1448"/>
      <c r="HW7" s="1448"/>
      <c r="HX7" s="1448"/>
      <c r="HY7" s="1181"/>
      <c r="HZ7" s="1448"/>
      <c r="IA7" s="1448"/>
      <c r="IB7" s="1448"/>
      <c r="IC7" s="1448"/>
      <c r="ID7" s="1448"/>
      <c r="IE7" s="1448"/>
      <c r="IF7" s="1448"/>
      <c r="IG7" s="1181"/>
      <c r="IH7" s="1448"/>
      <c r="II7" s="1448"/>
      <c r="IJ7" s="1448"/>
      <c r="IK7" s="1448"/>
      <c r="IL7" s="1448"/>
      <c r="IM7" s="1448"/>
      <c r="IN7" s="1448"/>
      <c r="IO7" s="1181"/>
      <c r="IP7" s="1448"/>
      <c r="IQ7" s="1448"/>
      <c r="IR7" s="1448"/>
      <c r="IS7" s="1448"/>
      <c r="IT7" s="1448"/>
      <c r="IU7" s="1448"/>
      <c r="IV7" s="1448"/>
    </row>
    <row r="8" spans="1:256" ht="6.75" customHeight="1" x14ac:dyDescent="0.25">
      <c r="A8" s="1433"/>
      <c r="B8" s="1446"/>
      <c r="C8" s="1446"/>
      <c r="D8" s="1446"/>
      <c r="E8" s="1446"/>
      <c r="F8" s="1446"/>
      <c r="G8" s="1446"/>
      <c r="H8" s="1446"/>
    </row>
    <row r="9" spans="1:256" ht="82.5" customHeight="1" x14ac:dyDescent="0.25">
      <c r="A9" s="1442" t="s">
        <v>3899</v>
      </c>
      <c r="B9" s="1442"/>
      <c r="C9" s="1442"/>
      <c r="D9" s="1442"/>
      <c r="E9" s="1442"/>
      <c r="F9" s="1442"/>
      <c r="G9" s="1442"/>
      <c r="H9" s="1442"/>
      <c r="I9" s="1442"/>
    </row>
    <row r="10" spans="1:256" ht="6.75" customHeight="1" x14ac:dyDescent="0.25">
      <c r="A10" s="1447"/>
      <c r="B10" s="1447"/>
      <c r="C10" s="1447"/>
      <c r="D10" s="1447"/>
      <c r="E10" s="1447"/>
      <c r="F10" s="1447"/>
      <c r="G10" s="1447"/>
      <c r="H10" s="1447"/>
    </row>
    <row r="11" spans="1:256" ht="12.75" customHeight="1" x14ac:dyDescent="0.25">
      <c r="A11" s="1180" t="s">
        <v>1138</v>
      </c>
      <c r="B11" s="1432" t="s">
        <v>3482</v>
      </c>
      <c r="C11" s="1432"/>
      <c r="D11" s="1432"/>
      <c r="E11" s="1432"/>
      <c r="F11" s="1432"/>
      <c r="G11" s="1432"/>
      <c r="H11" s="1432"/>
      <c r="I11" s="1432"/>
    </row>
    <row r="12" spans="1:256" ht="6.75" customHeight="1" x14ac:dyDescent="0.25">
      <c r="A12" s="1433"/>
      <c r="B12" s="1433"/>
      <c r="C12" s="1433"/>
      <c r="D12" s="1433"/>
      <c r="E12" s="1433"/>
      <c r="F12" s="1433"/>
      <c r="G12" s="1433"/>
      <c r="H12" s="1433"/>
    </row>
    <row r="13" spans="1:256" ht="24.75" customHeight="1" x14ac:dyDescent="0.25">
      <c r="A13" s="1442" t="s">
        <v>3900</v>
      </c>
      <c r="B13" s="1442"/>
      <c r="C13" s="1442"/>
      <c r="D13" s="1442"/>
      <c r="E13" s="1442"/>
      <c r="F13" s="1442"/>
      <c r="G13" s="1442"/>
      <c r="H13" s="1442"/>
      <c r="I13" s="1442"/>
    </row>
    <row r="14" spans="1:256" ht="6.75" customHeight="1" x14ac:dyDescent="0.25">
      <c r="A14" s="1442"/>
      <c r="B14" s="1442"/>
      <c r="C14" s="1442"/>
      <c r="D14" s="1442"/>
      <c r="E14" s="1442"/>
      <c r="F14" s="1442"/>
      <c r="G14" s="1442"/>
      <c r="H14" s="1442"/>
    </row>
    <row r="15" spans="1:256" ht="12.75" customHeight="1" x14ac:dyDescent="0.25">
      <c r="A15" s="1180" t="s">
        <v>1139</v>
      </c>
      <c r="B15" s="1432" t="s">
        <v>3483</v>
      </c>
      <c r="C15" s="1432"/>
      <c r="D15" s="1432"/>
      <c r="E15" s="1432"/>
      <c r="F15" s="1432"/>
      <c r="G15" s="1432"/>
      <c r="H15" s="1432"/>
      <c r="I15" s="1432"/>
    </row>
    <row r="16" spans="1:256" ht="6.75" customHeight="1" x14ac:dyDescent="0.25">
      <c r="A16" s="1433"/>
      <c r="B16" s="1433"/>
      <c r="C16" s="1433"/>
      <c r="D16" s="1433"/>
      <c r="E16" s="1433"/>
      <c r="F16" s="1433"/>
      <c r="G16" s="1433"/>
      <c r="H16" s="1433"/>
    </row>
    <row r="17" spans="1:9" ht="49.5" customHeight="1" x14ac:dyDescent="0.25">
      <c r="A17" s="1442" t="s">
        <v>3484</v>
      </c>
      <c r="B17" s="1442"/>
      <c r="C17" s="1442"/>
      <c r="D17" s="1442"/>
      <c r="E17" s="1442"/>
      <c r="F17" s="1442"/>
      <c r="G17" s="1442"/>
      <c r="H17" s="1442"/>
      <c r="I17" s="1442"/>
    </row>
    <row r="18" spans="1:9" ht="6.75" customHeight="1" x14ac:dyDescent="0.25">
      <c r="A18" s="1442"/>
      <c r="B18" s="1442"/>
      <c r="C18" s="1442"/>
      <c r="D18" s="1442"/>
      <c r="E18" s="1442"/>
      <c r="F18" s="1442"/>
      <c r="G18" s="1442"/>
      <c r="H18" s="1442"/>
    </row>
    <row r="19" spans="1:9" ht="12.75" customHeight="1" x14ac:dyDescent="0.25">
      <c r="A19" s="1180" t="s">
        <v>1143</v>
      </c>
      <c r="B19" s="1432" t="s">
        <v>3485</v>
      </c>
      <c r="C19" s="1432"/>
      <c r="D19" s="1432"/>
      <c r="E19" s="1432"/>
      <c r="F19" s="1432"/>
      <c r="G19" s="1432"/>
      <c r="H19" s="1432"/>
      <c r="I19" s="1432"/>
    </row>
    <row r="20" spans="1:9" ht="6.75" customHeight="1" x14ac:dyDescent="0.25">
      <c r="A20" s="1433"/>
      <c r="B20" s="1433"/>
      <c r="C20" s="1433"/>
      <c r="D20" s="1433"/>
      <c r="E20" s="1433"/>
      <c r="F20" s="1433"/>
      <c r="G20" s="1433"/>
      <c r="H20" s="1433"/>
    </row>
    <row r="21" spans="1:9" ht="120" customHeight="1" x14ac:dyDescent="0.25">
      <c r="A21" s="1442" t="s">
        <v>3901</v>
      </c>
      <c r="B21" s="1442"/>
      <c r="C21" s="1442"/>
      <c r="D21" s="1442"/>
      <c r="E21" s="1442"/>
      <c r="F21" s="1442"/>
      <c r="G21" s="1442"/>
      <c r="H21" s="1442"/>
      <c r="I21" s="1442"/>
    </row>
    <row r="22" spans="1:9" ht="6.75" customHeight="1" x14ac:dyDescent="0.25">
      <c r="A22" s="1442"/>
      <c r="B22" s="1442"/>
      <c r="C22" s="1442"/>
      <c r="D22" s="1442"/>
      <c r="E22" s="1442"/>
      <c r="F22" s="1442"/>
      <c r="G22" s="1442"/>
      <c r="H22" s="1442"/>
    </row>
    <row r="23" spans="1:9" ht="12.75" customHeight="1" x14ac:dyDescent="0.25">
      <c r="A23" s="1180" t="s">
        <v>65</v>
      </c>
      <c r="B23" s="1432" t="s">
        <v>3486</v>
      </c>
      <c r="C23" s="1432"/>
      <c r="D23" s="1432"/>
      <c r="E23" s="1432"/>
      <c r="F23" s="1432"/>
      <c r="G23" s="1432"/>
      <c r="H23" s="1432"/>
      <c r="I23" s="1432"/>
    </row>
    <row r="24" spans="1:9" ht="6.75" customHeight="1" x14ac:dyDescent="0.25">
      <c r="A24" s="1433"/>
      <c r="B24" s="1433"/>
      <c r="C24" s="1433"/>
      <c r="D24" s="1433"/>
      <c r="E24" s="1433"/>
      <c r="F24" s="1433"/>
      <c r="G24" s="1433"/>
      <c r="H24" s="1433"/>
    </row>
    <row r="25" spans="1:9" ht="61.5" customHeight="1" x14ac:dyDescent="0.25">
      <c r="A25" s="1442" t="s">
        <v>3487</v>
      </c>
      <c r="B25" s="1442"/>
      <c r="C25" s="1442"/>
      <c r="D25" s="1442"/>
      <c r="E25" s="1442"/>
      <c r="F25" s="1442"/>
      <c r="G25" s="1442"/>
      <c r="H25" s="1442"/>
      <c r="I25" s="1442"/>
    </row>
    <row r="26" spans="1:9" ht="72.75" customHeight="1" x14ac:dyDescent="0.25">
      <c r="A26" s="1443" t="s">
        <v>3902</v>
      </c>
      <c r="B26" s="1443"/>
      <c r="C26" s="1443"/>
      <c r="D26" s="1443"/>
      <c r="E26" s="1443"/>
      <c r="F26" s="1443"/>
      <c r="G26" s="1443"/>
      <c r="H26" s="1443"/>
      <c r="I26" s="1443"/>
    </row>
    <row r="27" spans="1:9" ht="11.25" customHeight="1" x14ac:dyDescent="0.25">
      <c r="A27" s="1182" t="s">
        <v>3488</v>
      </c>
      <c r="B27" s="1183"/>
      <c r="C27" s="1183"/>
      <c r="D27" s="1183"/>
      <c r="E27" s="1183"/>
      <c r="F27" s="1183"/>
      <c r="G27" s="1183"/>
      <c r="H27" s="1183"/>
      <c r="I27" s="232"/>
    </row>
    <row r="28" spans="1:9" ht="11.25" customHeight="1" x14ac:dyDescent="0.25">
      <c r="A28" s="1182" t="str">
        <f>IF(Input!K51=1,"720 giorni (ho compreso le spiegazioni riportate al punto 2 e mi dichiaro d’accordo)","360 giorni")</f>
        <v>720 giorni (ho compreso le spiegazioni riportate al punto 2 e mi dichiaro d’accordo)</v>
      </c>
      <c r="B28" s="1183"/>
      <c r="C28" s="1183"/>
      <c r="D28" s="1183"/>
      <c r="E28" s="1183"/>
      <c r="F28" s="1183"/>
      <c r="G28" s="1183"/>
      <c r="H28" s="1183"/>
      <c r="I28" s="232"/>
    </row>
    <row r="29" spans="1:9" ht="6.75" customHeight="1" x14ac:dyDescent="0.25">
      <c r="A29" s="1442"/>
      <c r="B29" s="1442"/>
      <c r="C29" s="1442"/>
      <c r="D29" s="1442"/>
      <c r="E29" s="1442"/>
      <c r="F29" s="1442"/>
      <c r="G29" s="1442"/>
      <c r="H29" s="1442"/>
    </row>
    <row r="30" spans="1:9" ht="12.75" customHeight="1" x14ac:dyDescent="0.25">
      <c r="A30" s="1180" t="s">
        <v>66</v>
      </c>
      <c r="B30" s="1432" t="s">
        <v>3489</v>
      </c>
      <c r="C30" s="1432"/>
      <c r="D30" s="1432"/>
      <c r="E30" s="1432"/>
      <c r="F30" s="1432"/>
      <c r="G30" s="1432"/>
      <c r="H30" s="1432"/>
      <c r="I30" s="1432"/>
    </row>
    <row r="31" spans="1:9" ht="4.5" customHeight="1" x14ac:dyDescent="0.25">
      <c r="A31" s="1433"/>
      <c r="B31" s="1433"/>
      <c r="C31" s="1433"/>
      <c r="D31" s="1433"/>
      <c r="E31" s="1433"/>
      <c r="F31" s="1433"/>
      <c r="G31" s="1433"/>
      <c r="H31" s="1433"/>
    </row>
    <row r="32" spans="1:9" x14ac:dyDescent="0.25">
      <c r="A32" s="1184" t="s">
        <v>3490</v>
      </c>
      <c r="B32" s="1184"/>
      <c r="C32" s="1184"/>
      <c r="D32" s="1184"/>
      <c r="F32" s="1184" t="s">
        <v>3491</v>
      </c>
      <c r="G32" s="1184"/>
      <c r="H32" s="1184"/>
      <c r="I32" s="1184" t="s">
        <v>3492</v>
      </c>
    </row>
    <row r="33" spans="1:9" ht="16.5" customHeight="1" x14ac:dyDescent="0.25">
      <c r="A33" s="1444" t="str">
        <f>CONCATENATE(Input!E8," ",Input!E9)</f>
        <v xml:space="preserve"> </v>
      </c>
      <c r="B33" s="1444"/>
      <c r="C33" s="1444"/>
      <c r="D33" s="1444"/>
      <c r="E33" s="1185"/>
      <c r="F33" s="1445" t="str">
        <f>IF(Input!E10="","...........................................",Input!E10)</f>
        <v>...........................................</v>
      </c>
      <c r="G33" s="1445"/>
      <c r="I33" s="1186">
        <f>Input!E11</f>
        <v>31048</v>
      </c>
    </row>
    <row r="34" spans="1:9" ht="3.75" customHeight="1" x14ac:dyDescent="0.25">
      <c r="A34" s="1442"/>
      <c r="B34" s="1442"/>
      <c r="C34" s="1442"/>
      <c r="D34" s="1442"/>
      <c r="E34" s="1442"/>
      <c r="F34" s="1442"/>
      <c r="G34" s="1442"/>
      <c r="H34" s="1442"/>
      <c r="I34" s="1184"/>
    </row>
    <row r="35" spans="1:9" x14ac:dyDescent="0.25">
      <c r="A35" s="1184" t="s">
        <v>3493</v>
      </c>
      <c r="B35" s="1184"/>
      <c r="C35" s="1184"/>
      <c r="D35" s="1184"/>
      <c r="E35" s="1184"/>
      <c r="F35" s="1184"/>
      <c r="G35" s="1184"/>
      <c r="I35" s="1184" t="s">
        <v>3494</v>
      </c>
    </row>
    <row r="36" spans="1:9" ht="16.5" customHeight="1" x14ac:dyDescent="0.25">
      <c r="A36" s="1435" t="s">
        <v>64</v>
      </c>
      <c r="B36" s="1435"/>
      <c r="C36" s="1435"/>
      <c r="D36" s="1435"/>
      <c r="E36" s="1435"/>
      <c r="F36" s="1435"/>
      <c r="G36" s="1435"/>
      <c r="I36" s="1187" t="str">
        <f>IF(Input!K3=1,"uomo","donna")</f>
        <v>donna</v>
      </c>
    </row>
    <row r="37" spans="1:9" ht="3" customHeight="1" x14ac:dyDescent="0.25">
      <c r="A37" s="1442"/>
      <c r="B37" s="1442"/>
      <c r="C37" s="1442"/>
      <c r="D37" s="1442"/>
      <c r="E37" s="1442"/>
      <c r="F37" s="1442"/>
      <c r="G37" s="1442"/>
      <c r="H37" s="1442"/>
      <c r="I37" s="1184"/>
    </row>
    <row r="38" spans="1:9" x14ac:dyDescent="0.25">
      <c r="A38" s="1184" t="s">
        <v>3495</v>
      </c>
      <c r="B38" s="1184"/>
      <c r="C38" s="1184"/>
      <c r="D38" s="1184"/>
      <c r="E38" s="1184"/>
      <c r="F38" s="1184"/>
      <c r="G38" s="1184"/>
      <c r="H38" s="1184"/>
      <c r="I38" s="1184"/>
    </row>
    <row r="39" spans="1:9" x14ac:dyDescent="0.25">
      <c r="A39" s="1188" t="s">
        <v>3496</v>
      </c>
      <c r="B39" s="1184"/>
      <c r="C39" s="1188" t="s">
        <v>3497</v>
      </c>
      <c r="D39" s="1184"/>
      <c r="E39" s="1188" t="s">
        <v>3498</v>
      </c>
      <c r="F39" s="1188" t="s">
        <v>3499</v>
      </c>
      <c r="G39" s="1188" t="s">
        <v>3500</v>
      </c>
      <c r="H39" s="1184"/>
    </row>
    <row r="40" spans="1:9" s="1192" customFormat="1" ht="16.5" customHeight="1" x14ac:dyDescent="0.25">
      <c r="A40" s="1189" t="s">
        <v>3501</v>
      </c>
      <c r="B40" s="1190"/>
      <c r="C40" s="1191"/>
      <c r="D40" s="1190"/>
      <c r="E40" s="1189" t="s">
        <v>3502</v>
      </c>
      <c r="F40" s="1191"/>
      <c r="G40" s="1190"/>
      <c r="H40" s="1190"/>
    </row>
    <row r="41" spans="1:9" ht="3.75" customHeight="1" x14ac:dyDescent="0.25">
      <c r="A41" s="1184"/>
      <c r="B41" s="1184"/>
      <c r="C41" s="1184"/>
      <c r="D41" s="1184"/>
      <c r="E41" s="1184"/>
      <c r="F41" s="1184"/>
      <c r="G41" s="1184"/>
      <c r="H41" s="1184"/>
      <c r="I41" s="1184"/>
    </row>
    <row r="42" spans="1:9" x14ac:dyDescent="0.25">
      <c r="A42" s="1184" t="s">
        <v>3503</v>
      </c>
      <c r="B42" s="1184"/>
      <c r="C42" s="1184"/>
      <c r="D42" s="1184"/>
      <c r="E42" s="1184"/>
      <c r="F42" s="1184"/>
      <c r="G42" s="1184"/>
      <c r="H42" s="1184" t="s">
        <v>3504</v>
      </c>
      <c r="I42" s="1184"/>
    </row>
    <row r="43" spans="1:9" s="1239" customFormat="1" x14ac:dyDescent="0.25">
      <c r="A43" s="1184" t="s">
        <v>64</v>
      </c>
      <c r="B43" s="1184"/>
      <c r="C43" s="1184"/>
      <c r="D43" s="1184"/>
      <c r="E43" s="1184"/>
      <c r="F43" s="1184"/>
      <c r="G43" s="1184"/>
      <c r="H43" s="1184" t="s">
        <v>57</v>
      </c>
      <c r="I43" s="1184"/>
    </row>
    <row r="44" spans="1:9" s="1239" customFormat="1" x14ac:dyDescent="0.25">
      <c r="A44" s="1184" t="s">
        <v>3643</v>
      </c>
      <c r="B44" s="1184"/>
      <c r="C44" s="1184"/>
      <c r="D44" s="1184"/>
      <c r="E44" s="1184"/>
      <c r="F44" s="1184"/>
      <c r="G44" s="1184"/>
      <c r="H44" s="1184"/>
      <c r="I44" s="1184"/>
    </row>
    <row r="45" spans="1:9" ht="15" customHeight="1" x14ac:dyDescent="0.25">
      <c r="A45" s="1435" t="s">
        <v>64</v>
      </c>
      <c r="B45" s="1435"/>
      <c r="C45" s="1435"/>
      <c r="D45" s="1435"/>
      <c r="E45" s="1435"/>
      <c r="F45" s="1435"/>
      <c r="G45" s="1435"/>
      <c r="H45" s="1452" t="s">
        <v>73</v>
      </c>
      <c r="I45" s="1453"/>
    </row>
    <row r="46" spans="1:9" s="1239" customFormat="1" ht="18" customHeight="1" x14ac:dyDescent="0.25">
      <c r="A46" s="1435"/>
      <c r="B46" s="1435"/>
      <c r="C46" s="1435"/>
      <c r="D46" s="1435"/>
      <c r="E46" s="1435"/>
      <c r="F46" s="1435"/>
      <c r="G46" s="1435"/>
      <c r="H46" s="1237"/>
      <c r="I46" s="1193"/>
    </row>
    <row r="47" spans="1:9" ht="12.75" customHeight="1" x14ac:dyDescent="0.25">
      <c r="A47" s="1180" t="s">
        <v>67</v>
      </c>
      <c r="B47" s="1432" t="s">
        <v>3505</v>
      </c>
      <c r="C47" s="1432"/>
      <c r="D47" s="1432"/>
      <c r="E47" s="1432"/>
      <c r="F47" s="1432"/>
      <c r="G47" s="1432"/>
      <c r="H47" s="1432"/>
      <c r="I47" s="1432"/>
    </row>
    <row r="48" spans="1:9" ht="6" customHeight="1" x14ac:dyDescent="0.25">
      <c r="A48" s="1433"/>
      <c r="B48" s="1433"/>
      <c r="C48" s="1433"/>
      <c r="D48" s="1433"/>
      <c r="E48" s="1433"/>
      <c r="F48" s="1433"/>
      <c r="G48" s="1433"/>
      <c r="H48" s="1433"/>
    </row>
    <row r="49" spans="1:9" ht="12.75" customHeight="1" x14ac:dyDescent="0.25">
      <c r="A49" s="1194" t="s">
        <v>31</v>
      </c>
      <c r="B49" s="1194" t="s">
        <v>3506</v>
      </c>
      <c r="C49" s="1194"/>
      <c r="D49" s="1194"/>
      <c r="E49" s="1194"/>
      <c r="F49" s="1188" t="s">
        <v>2123</v>
      </c>
      <c r="G49" s="1194"/>
      <c r="H49" s="1195"/>
      <c r="I49" s="1195"/>
    </row>
    <row r="50" spans="1:9" s="1192" customFormat="1" ht="16.5" customHeight="1" x14ac:dyDescent="0.25">
      <c r="A50" s="1190"/>
      <c r="B50" s="1190"/>
      <c r="C50" s="1190"/>
      <c r="D50" s="1190"/>
      <c r="E50" s="1190"/>
      <c r="F50" s="1440" t="s">
        <v>2124</v>
      </c>
      <c r="G50" s="1440"/>
      <c r="H50" s="1440"/>
      <c r="I50" s="1440"/>
    </row>
    <row r="51" spans="1:9" ht="3" customHeight="1" x14ac:dyDescent="0.25">
      <c r="A51" s="1184"/>
      <c r="B51" s="1184"/>
      <c r="C51" s="1184"/>
      <c r="D51" s="1184"/>
      <c r="E51" s="1184"/>
      <c r="F51" s="1184"/>
      <c r="G51" s="1184"/>
      <c r="H51" s="1184"/>
    </row>
    <row r="52" spans="1:9" s="1192" customFormat="1" ht="16.5" customHeight="1" x14ac:dyDescent="0.25">
      <c r="A52" s="1190" t="s">
        <v>33</v>
      </c>
      <c r="B52" s="1190" t="s">
        <v>3507</v>
      </c>
      <c r="C52" s="1190"/>
      <c r="D52" s="1190"/>
      <c r="E52" s="1190"/>
      <c r="F52" s="1209">
        <f>Input!E15</f>
        <v>45292</v>
      </c>
      <c r="G52" s="1198"/>
      <c r="H52" s="1198"/>
      <c r="I52" s="1198"/>
    </row>
    <row r="53" spans="1:9" ht="3" customHeight="1" x14ac:dyDescent="0.25">
      <c r="A53" s="1184"/>
      <c r="B53" s="1184"/>
      <c r="C53" s="1184"/>
      <c r="D53" s="1184"/>
      <c r="E53" s="1184"/>
      <c r="F53" s="1184"/>
      <c r="G53" s="1184"/>
      <c r="H53" s="1184"/>
    </row>
    <row r="54" spans="1:9" s="1192" customFormat="1" ht="16.5" customHeight="1" x14ac:dyDescent="0.25">
      <c r="A54" s="1190" t="s">
        <v>37</v>
      </c>
      <c r="B54" s="1190" t="s">
        <v>3508</v>
      </c>
      <c r="C54" s="1190"/>
      <c r="D54" s="1190"/>
      <c r="E54" s="1190"/>
      <c r="F54" s="1198" t="s">
        <v>1274</v>
      </c>
      <c r="G54" s="1199">
        <f>Input!E19</f>
        <v>100000</v>
      </c>
      <c r="H54" s="1200"/>
      <c r="I54" s="1200"/>
    </row>
    <row r="55" spans="1:9" ht="12.75" customHeight="1" x14ac:dyDescent="0.25">
      <c r="A55" s="1194"/>
      <c r="B55" s="1441" t="s">
        <v>3509</v>
      </c>
      <c r="C55" s="1441"/>
      <c r="D55" s="1441"/>
      <c r="E55" s="1441"/>
      <c r="F55" s="1441"/>
      <c r="G55" s="1441"/>
      <c r="H55" s="1441"/>
      <c r="I55" s="1441"/>
    </row>
    <row r="56" spans="1:9" ht="12.75" customHeight="1" x14ac:dyDescent="0.25">
      <c r="A56" s="1194"/>
      <c r="B56" s="1441" t="s">
        <v>3510</v>
      </c>
      <c r="C56" s="1441"/>
      <c r="D56" s="1441"/>
      <c r="E56" s="1441"/>
      <c r="F56" s="1441"/>
      <c r="G56" s="1441"/>
      <c r="H56" s="1441"/>
      <c r="I56" s="1441"/>
    </row>
    <row r="57" spans="1:9" ht="3" customHeight="1" x14ac:dyDescent="0.25">
      <c r="A57" s="1184"/>
      <c r="B57" s="1184"/>
      <c r="C57" s="1184"/>
      <c r="D57" s="1184"/>
      <c r="E57" s="1184"/>
      <c r="F57" s="1184"/>
      <c r="G57" s="1184"/>
      <c r="H57" s="1184"/>
    </row>
    <row r="58" spans="1:9" s="1192" customFormat="1" ht="16.5" customHeight="1" x14ac:dyDescent="0.25">
      <c r="A58" s="1190" t="s">
        <v>39</v>
      </c>
      <c r="B58" s="1190" t="s">
        <v>3511</v>
      </c>
      <c r="C58" s="1190"/>
      <c r="D58" s="1190"/>
      <c r="E58" s="1190"/>
      <c r="F58" s="1435" t="s">
        <v>71</v>
      </c>
      <c r="G58" s="1435"/>
      <c r="H58" s="1435"/>
      <c r="I58" s="1435"/>
    </row>
    <row r="59" spans="1:9" ht="3" customHeight="1" x14ac:dyDescent="0.25">
      <c r="A59" s="1184"/>
      <c r="B59" s="1184"/>
      <c r="C59" s="1184"/>
      <c r="D59" s="1184"/>
      <c r="E59" s="1184"/>
      <c r="F59" s="1184"/>
      <c r="G59" s="1184"/>
      <c r="H59" s="1184"/>
    </row>
    <row r="60" spans="1:9" ht="25.5" customHeight="1" x14ac:dyDescent="0.25">
      <c r="A60" s="1194" t="s">
        <v>620</v>
      </c>
      <c r="B60" s="1434" t="s">
        <v>3512</v>
      </c>
      <c r="C60" s="1434"/>
      <c r="D60" s="1434"/>
      <c r="E60" s="1434"/>
      <c r="F60" s="1434"/>
      <c r="G60" s="1434"/>
      <c r="H60" s="1188" t="s">
        <v>3513</v>
      </c>
      <c r="I60" s="1188" t="s">
        <v>3514</v>
      </c>
    </row>
    <row r="61" spans="1:9" ht="3" customHeight="1" x14ac:dyDescent="0.25">
      <c r="A61" s="1184"/>
      <c r="B61" s="1184"/>
      <c r="C61" s="1184"/>
      <c r="D61" s="1184"/>
      <c r="E61" s="1184"/>
      <c r="F61" s="1184"/>
      <c r="G61" s="1184"/>
      <c r="H61" s="1201"/>
      <c r="I61" s="935"/>
    </row>
    <row r="62" spans="1:9" ht="12.75" customHeight="1" x14ac:dyDescent="0.25">
      <c r="A62" s="1194" t="s">
        <v>621</v>
      </c>
      <c r="B62" s="1434" t="s">
        <v>3515</v>
      </c>
      <c r="C62" s="1434"/>
      <c r="D62" s="1434"/>
      <c r="E62" s="1434"/>
      <c r="F62" s="1434"/>
      <c r="G62" s="1434"/>
      <c r="H62" s="1188" t="s">
        <v>3513</v>
      </c>
      <c r="I62" s="1188" t="s">
        <v>3514</v>
      </c>
    </row>
    <row r="63" spans="1:9" ht="12.75" customHeight="1" x14ac:dyDescent="0.25">
      <c r="A63" s="1194"/>
      <c r="B63" s="1202" t="s">
        <v>3516</v>
      </c>
      <c r="C63" s="1188" t="s">
        <v>3517</v>
      </c>
      <c r="D63" s="1203"/>
      <c r="E63" s="1202"/>
      <c r="F63" s="1188" t="s">
        <v>3518</v>
      </c>
      <c r="G63" s="1202"/>
      <c r="H63" s="1195"/>
      <c r="I63" s="1195"/>
    </row>
    <row r="64" spans="1:9" s="1192" customFormat="1" ht="16.5" customHeight="1" x14ac:dyDescent="0.25">
      <c r="A64" s="1190"/>
      <c r="B64" s="1435" t="s">
        <v>3519</v>
      </c>
      <c r="C64" s="1435"/>
      <c r="D64" s="1435"/>
      <c r="E64" s="1435"/>
      <c r="F64" s="1435"/>
      <c r="G64" s="1435"/>
      <c r="H64" s="1435"/>
      <c r="I64" s="1435"/>
    </row>
    <row r="65" spans="1:9" s="1192" customFormat="1" ht="16.5" customHeight="1" x14ac:dyDescent="0.25">
      <c r="A65" s="1190"/>
      <c r="B65" s="1435" t="s">
        <v>3520</v>
      </c>
      <c r="C65" s="1435"/>
      <c r="D65" s="1435"/>
      <c r="E65" s="1435"/>
      <c r="F65" s="1435"/>
      <c r="G65" s="1435"/>
      <c r="H65" s="1435"/>
      <c r="I65" s="1435"/>
    </row>
    <row r="66" spans="1:9" ht="3" customHeight="1" x14ac:dyDescent="0.25">
      <c r="A66" s="1184"/>
      <c r="B66" s="1184"/>
      <c r="C66" s="1184"/>
      <c r="D66" s="1184"/>
      <c r="E66" s="1184"/>
      <c r="F66" s="1184"/>
      <c r="G66" s="1184"/>
      <c r="H66" s="1184"/>
    </row>
    <row r="67" spans="1:9" ht="60.75" customHeight="1" x14ac:dyDescent="0.25">
      <c r="A67" s="1194" t="s">
        <v>622</v>
      </c>
      <c r="B67" s="1434" t="s">
        <v>3903</v>
      </c>
      <c r="C67" s="1434"/>
      <c r="D67" s="1434"/>
      <c r="E67" s="1434"/>
      <c r="F67" s="1434"/>
      <c r="G67" s="1434"/>
      <c r="H67" s="1184"/>
    </row>
    <row r="68" spans="1:9" ht="3" customHeight="1" x14ac:dyDescent="0.25">
      <c r="A68" s="1184"/>
      <c r="B68" s="1184"/>
      <c r="C68" s="1184"/>
      <c r="D68" s="1184"/>
      <c r="E68" s="1184"/>
      <c r="F68" s="1184"/>
      <c r="G68" s="1184"/>
      <c r="H68" s="1184"/>
    </row>
    <row r="69" spans="1:9" ht="25.5" customHeight="1" x14ac:dyDescent="0.25">
      <c r="A69" s="1194" t="s">
        <v>623</v>
      </c>
      <c r="B69" s="1434" t="s">
        <v>3521</v>
      </c>
      <c r="C69" s="1434"/>
      <c r="D69" s="1434"/>
      <c r="E69" s="1434"/>
      <c r="F69" s="1434"/>
      <c r="G69" s="1434"/>
      <c r="H69" s="1188" t="s">
        <v>3513</v>
      </c>
      <c r="I69" s="1188" t="s">
        <v>3514</v>
      </c>
    </row>
    <row r="70" spans="1:9" ht="3" customHeight="1" x14ac:dyDescent="0.25">
      <c r="A70" s="1184"/>
      <c r="B70" s="1184"/>
      <c r="C70" s="1184"/>
      <c r="D70" s="1184"/>
      <c r="E70" s="1184"/>
      <c r="F70" s="1184"/>
      <c r="G70" s="1184"/>
      <c r="H70" s="1201"/>
      <c r="I70" s="935"/>
    </row>
    <row r="71" spans="1:9" ht="12.75" customHeight="1" x14ac:dyDescent="0.25">
      <c r="A71" s="1194" t="s">
        <v>26</v>
      </c>
      <c r="B71" s="1434" t="s">
        <v>3522</v>
      </c>
      <c r="C71" s="1434"/>
      <c r="D71" s="1434"/>
      <c r="E71" s="1434"/>
      <c r="F71" s="1434"/>
      <c r="G71" s="1434"/>
      <c r="H71" s="1188" t="s">
        <v>3513</v>
      </c>
      <c r="I71" s="1188" t="s">
        <v>3514</v>
      </c>
    </row>
    <row r="72" spans="1:9" ht="3" customHeight="1" x14ac:dyDescent="0.25">
      <c r="A72" s="1184"/>
      <c r="B72" s="1184"/>
      <c r="C72" s="1184"/>
      <c r="D72" s="1184"/>
      <c r="E72" s="1184"/>
      <c r="F72" s="1184"/>
      <c r="G72" s="1184"/>
      <c r="H72" s="1201"/>
      <c r="I72" s="935"/>
    </row>
    <row r="73" spans="1:9" ht="12.75" customHeight="1" x14ac:dyDescent="0.25">
      <c r="A73" s="1194" t="s">
        <v>28</v>
      </c>
      <c r="B73" s="1434" t="s">
        <v>3523</v>
      </c>
      <c r="C73" s="1434"/>
      <c r="D73" s="1434"/>
      <c r="E73" s="1434"/>
      <c r="F73" s="1434"/>
      <c r="G73" s="1434"/>
      <c r="H73" s="1188" t="s">
        <v>3513</v>
      </c>
      <c r="I73" s="1188" t="s">
        <v>3514</v>
      </c>
    </row>
    <row r="74" spans="1:9" ht="12.75" customHeight="1" x14ac:dyDescent="0.25">
      <c r="A74" s="1194"/>
      <c r="B74" s="1194" t="s">
        <v>3524</v>
      </c>
      <c r="C74" s="1194"/>
      <c r="D74" s="1202"/>
      <c r="F74" s="1188" t="s">
        <v>3921</v>
      </c>
      <c r="G74" s="1203"/>
      <c r="H74" s="1204"/>
      <c r="I74" s="1204"/>
    </row>
    <row r="75" spans="1:9" s="1192" customFormat="1" ht="16.5" customHeight="1" x14ac:dyDescent="0.25">
      <c r="A75" s="1190"/>
      <c r="B75" s="1205"/>
      <c r="C75" s="1190"/>
      <c r="D75" s="1205"/>
      <c r="F75" s="1189" t="s">
        <v>3922</v>
      </c>
      <c r="G75" s="1210"/>
      <c r="H75" s="1210"/>
      <c r="I75" s="1210"/>
    </row>
    <row r="76" spans="1:9" ht="12" customHeight="1" x14ac:dyDescent="0.25">
      <c r="A76" s="1184"/>
      <c r="B76" s="1184"/>
      <c r="C76" s="1184"/>
      <c r="D76" s="1184"/>
      <c r="E76" s="1184"/>
      <c r="F76" s="1184"/>
      <c r="G76" s="1184"/>
      <c r="H76" s="1184"/>
    </row>
    <row r="77" spans="1:9" ht="12.75" customHeight="1" x14ac:dyDescent="0.25">
      <c r="A77" s="1180" t="s">
        <v>68</v>
      </c>
      <c r="B77" s="1432" t="s">
        <v>3525</v>
      </c>
      <c r="C77" s="1432"/>
      <c r="D77" s="1432"/>
      <c r="E77" s="1432"/>
      <c r="F77" s="1432"/>
      <c r="G77" s="1432"/>
      <c r="H77" s="1432"/>
      <c r="I77" s="1432"/>
    </row>
    <row r="78" spans="1:9" ht="6.75" customHeight="1" x14ac:dyDescent="0.25">
      <c r="A78" s="1433"/>
      <c r="B78" s="1433"/>
      <c r="C78" s="1433"/>
      <c r="D78" s="1433"/>
      <c r="E78" s="1433"/>
      <c r="F78" s="1433"/>
      <c r="G78" s="1433"/>
      <c r="H78" s="1433"/>
    </row>
    <row r="79" spans="1:9" ht="12.75" customHeight="1" x14ac:dyDescent="0.25">
      <c r="A79" s="1194" t="s">
        <v>31</v>
      </c>
      <c r="B79" s="1434" t="s">
        <v>3526</v>
      </c>
      <c r="C79" s="1434"/>
      <c r="D79" s="1434"/>
      <c r="E79" s="1434"/>
      <c r="F79" s="1434"/>
      <c r="G79" s="1434"/>
      <c r="H79" s="1188" t="s">
        <v>3513</v>
      </c>
      <c r="I79" s="1188" t="s">
        <v>3514</v>
      </c>
    </row>
    <row r="80" spans="1:9" s="1192" customFormat="1" ht="16.5" customHeight="1" x14ac:dyDescent="0.25">
      <c r="A80" s="1190"/>
      <c r="B80" s="1435" t="s">
        <v>3527</v>
      </c>
      <c r="C80" s="1435"/>
      <c r="D80" s="1435"/>
      <c r="E80" s="1435"/>
      <c r="F80" s="1435"/>
      <c r="G80" s="1435"/>
      <c r="H80" s="1435"/>
      <c r="I80" s="1435"/>
    </row>
    <row r="81" spans="1:9" ht="3" customHeight="1" x14ac:dyDescent="0.25">
      <c r="A81" s="1184"/>
      <c r="B81" s="1184"/>
      <c r="C81" s="1184"/>
      <c r="D81" s="1184"/>
      <c r="E81" s="1184"/>
      <c r="F81" s="1184"/>
      <c r="G81" s="1184"/>
      <c r="H81" s="1184"/>
    </row>
    <row r="82" spans="1:9" ht="12.75" customHeight="1" x14ac:dyDescent="0.25">
      <c r="A82" s="1194" t="s">
        <v>33</v>
      </c>
      <c r="B82" s="1434" t="s">
        <v>3528</v>
      </c>
      <c r="C82" s="1434"/>
      <c r="D82" s="1434"/>
      <c r="E82" s="1434"/>
      <c r="F82" s="1434"/>
      <c r="G82" s="1434"/>
      <c r="H82" s="1188" t="s">
        <v>3513</v>
      </c>
      <c r="I82" s="1188" t="s">
        <v>3514</v>
      </c>
    </row>
    <row r="83" spans="1:9" s="1192" customFormat="1" ht="15" customHeight="1" x14ac:dyDescent="0.25">
      <c r="A83" s="1190"/>
      <c r="B83" s="1435" t="s">
        <v>3529</v>
      </c>
      <c r="C83" s="1435"/>
      <c r="D83" s="1435"/>
      <c r="E83" s="1435"/>
      <c r="F83" s="1435"/>
      <c r="G83" s="1435"/>
      <c r="H83" s="1435"/>
      <c r="I83" s="1435"/>
    </row>
    <row r="84" spans="1:9" ht="3" customHeight="1" x14ac:dyDescent="0.25">
      <c r="A84" s="1184"/>
      <c r="B84" s="1184"/>
      <c r="C84" s="1184"/>
      <c r="D84" s="1184"/>
      <c r="E84" s="1184"/>
      <c r="F84" s="1184"/>
      <c r="G84" s="1184"/>
      <c r="H84" s="1184"/>
    </row>
    <row r="85" spans="1:9" ht="24.75" customHeight="1" x14ac:dyDescent="0.25">
      <c r="A85" s="1194" t="s">
        <v>37</v>
      </c>
      <c r="B85" s="1434" t="s">
        <v>3530</v>
      </c>
      <c r="C85" s="1434"/>
      <c r="D85" s="1434"/>
      <c r="E85" s="1434"/>
      <c r="F85" s="1434"/>
      <c r="G85" s="1434"/>
      <c r="H85" s="1188" t="s">
        <v>3513</v>
      </c>
      <c r="I85" s="1188" t="s">
        <v>3514</v>
      </c>
    </row>
    <row r="86" spans="1:9" ht="12.75" customHeight="1" x14ac:dyDescent="0.25">
      <c r="A86" s="1194"/>
      <c r="B86" s="1439" t="s">
        <v>3531</v>
      </c>
      <c r="C86" s="1439"/>
      <c r="D86" s="1439"/>
      <c r="E86" s="1439"/>
      <c r="F86" s="1439"/>
      <c r="G86" s="1439"/>
      <c r="H86" s="1439"/>
      <c r="I86" s="1439"/>
    </row>
    <row r="87" spans="1:9" s="1192" customFormat="1" ht="16.5" customHeight="1" x14ac:dyDescent="0.25">
      <c r="A87" s="1190"/>
      <c r="B87" s="1435" t="s">
        <v>52</v>
      </c>
      <c r="C87" s="1435"/>
      <c r="D87" s="1435"/>
      <c r="E87" s="1435"/>
      <c r="F87" s="1435"/>
      <c r="G87" s="1435"/>
      <c r="H87" s="1435"/>
      <c r="I87" s="1435"/>
    </row>
    <row r="88" spans="1:9" s="1192" customFormat="1" ht="16.5" customHeight="1" x14ac:dyDescent="0.25">
      <c r="A88" s="1190"/>
      <c r="B88" s="1435" t="s">
        <v>52</v>
      </c>
      <c r="C88" s="1435"/>
      <c r="D88" s="1435"/>
      <c r="E88" s="1435"/>
      <c r="F88" s="1435"/>
      <c r="G88" s="1435"/>
      <c r="H88" s="1435"/>
      <c r="I88" s="1435"/>
    </row>
    <row r="89" spans="1:9" ht="3" customHeight="1" x14ac:dyDescent="0.25">
      <c r="A89" s="1184"/>
      <c r="B89" s="1184"/>
      <c r="C89" s="1184"/>
      <c r="D89" s="1184"/>
      <c r="E89" s="1184"/>
      <c r="F89" s="1184"/>
      <c r="G89" s="1184"/>
      <c r="H89" s="1184"/>
    </row>
    <row r="90" spans="1:9" ht="12.75" customHeight="1" x14ac:dyDescent="0.25">
      <c r="A90" s="1194" t="s">
        <v>39</v>
      </c>
      <c r="B90" s="1434" t="s">
        <v>3532</v>
      </c>
      <c r="C90" s="1434"/>
      <c r="D90" s="1434"/>
      <c r="E90" s="1434"/>
      <c r="F90" s="1434"/>
      <c r="G90" s="1434"/>
      <c r="H90" s="1188" t="s">
        <v>3513</v>
      </c>
      <c r="I90" s="1188" t="s">
        <v>3514</v>
      </c>
    </row>
    <row r="91" spans="1:9" ht="12.75" customHeight="1" x14ac:dyDescent="0.25">
      <c r="A91" s="1194"/>
      <c r="B91" s="1434" t="s">
        <v>3533</v>
      </c>
      <c r="C91" s="1439"/>
      <c r="D91" s="1439"/>
      <c r="E91" s="1439"/>
      <c r="F91" s="1439"/>
      <c r="G91" s="1439"/>
      <c r="H91" s="1439"/>
      <c r="I91" s="1439"/>
    </row>
    <row r="92" spans="1:9" s="1192" customFormat="1" ht="16.5" customHeight="1" x14ac:dyDescent="0.25">
      <c r="A92" s="1190"/>
      <c r="B92" s="1435" t="s">
        <v>52</v>
      </c>
      <c r="C92" s="1435"/>
      <c r="D92" s="1435"/>
      <c r="E92" s="1435"/>
      <c r="F92" s="1435"/>
      <c r="G92" s="1435"/>
      <c r="H92" s="1435"/>
      <c r="I92" s="1435"/>
    </row>
    <row r="93" spans="1:9" s="1192" customFormat="1" ht="16.5" customHeight="1" x14ac:dyDescent="0.25">
      <c r="A93" s="1190"/>
      <c r="B93" s="1435" t="s">
        <v>52</v>
      </c>
      <c r="C93" s="1435"/>
      <c r="D93" s="1435"/>
      <c r="E93" s="1435"/>
      <c r="F93" s="1435"/>
      <c r="G93" s="1435"/>
      <c r="H93" s="1435"/>
      <c r="I93" s="1435"/>
    </row>
    <row r="94" spans="1:9" s="1192" customFormat="1" ht="16.5" customHeight="1" x14ac:dyDescent="0.25">
      <c r="A94" s="1190"/>
      <c r="B94" s="1435" t="s">
        <v>52</v>
      </c>
      <c r="C94" s="1435"/>
      <c r="D94" s="1435"/>
      <c r="E94" s="1435"/>
      <c r="F94" s="1435"/>
      <c r="G94" s="1435"/>
      <c r="H94" s="1435"/>
      <c r="I94" s="1435"/>
    </row>
    <row r="95" spans="1:9" ht="3" customHeight="1" x14ac:dyDescent="0.25">
      <c r="A95" s="1184"/>
      <c r="B95" s="1184"/>
      <c r="C95" s="1184"/>
      <c r="D95" s="1184"/>
      <c r="E95" s="1184"/>
      <c r="F95" s="1184"/>
      <c r="G95" s="1184"/>
      <c r="H95" s="1184"/>
    </row>
    <row r="96" spans="1:9" ht="24.75" customHeight="1" x14ac:dyDescent="0.25">
      <c r="A96" s="1194" t="s">
        <v>620</v>
      </c>
      <c r="B96" s="1434" t="s">
        <v>3534</v>
      </c>
      <c r="C96" s="1434"/>
      <c r="D96" s="1434"/>
      <c r="E96" s="1434"/>
      <c r="F96" s="1434"/>
      <c r="G96" s="1434"/>
      <c r="H96" s="1188" t="s">
        <v>3513</v>
      </c>
      <c r="I96" s="1188" t="s">
        <v>3514</v>
      </c>
    </row>
    <row r="97" spans="1:9" ht="12.75" customHeight="1" x14ac:dyDescent="0.25">
      <c r="A97" s="1194"/>
      <c r="B97" s="1439" t="s">
        <v>3535</v>
      </c>
      <c r="C97" s="1439"/>
      <c r="D97" s="1439"/>
      <c r="E97" s="1439"/>
      <c r="F97" s="1439"/>
      <c r="G97" s="1439"/>
      <c r="H97" s="1439"/>
      <c r="I97" s="1439"/>
    </row>
    <row r="98" spans="1:9" s="1192" customFormat="1" ht="16.5" customHeight="1" x14ac:dyDescent="0.25">
      <c r="A98" s="1190"/>
      <c r="B98" s="1435" t="s">
        <v>52</v>
      </c>
      <c r="C98" s="1435"/>
      <c r="D98" s="1435"/>
      <c r="E98" s="1435"/>
      <c r="F98" s="1435"/>
      <c r="G98" s="1435"/>
      <c r="H98" s="1435"/>
      <c r="I98" s="1435"/>
    </row>
    <row r="99" spans="1:9" s="1192" customFormat="1" ht="16.5" customHeight="1" x14ac:dyDescent="0.25">
      <c r="A99" s="1190"/>
      <c r="B99" s="1435" t="s">
        <v>52</v>
      </c>
      <c r="C99" s="1435"/>
      <c r="D99" s="1435"/>
      <c r="E99" s="1435"/>
      <c r="F99" s="1435"/>
      <c r="G99" s="1435"/>
      <c r="H99" s="1435"/>
      <c r="I99" s="1435"/>
    </row>
    <row r="100" spans="1:9" ht="3" customHeight="1" x14ac:dyDescent="0.25">
      <c r="A100" s="1184"/>
      <c r="B100" s="1184"/>
      <c r="C100" s="1184"/>
      <c r="D100" s="1184"/>
      <c r="E100" s="1184"/>
      <c r="F100" s="1184"/>
      <c r="G100" s="1184"/>
      <c r="H100" s="1184"/>
    </row>
    <row r="101" spans="1:9" ht="24.75" customHeight="1" x14ac:dyDescent="0.25">
      <c r="A101" s="1194" t="s">
        <v>621</v>
      </c>
      <c r="B101" s="1434" t="s">
        <v>3536</v>
      </c>
      <c r="C101" s="1434"/>
      <c r="D101" s="1434"/>
      <c r="E101" s="1434"/>
      <c r="F101" s="1434"/>
      <c r="G101" s="1434"/>
      <c r="H101" s="1188" t="s">
        <v>3513</v>
      </c>
      <c r="I101" s="1188" t="s">
        <v>3514</v>
      </c>
    </row>
    <row r="102" spans="1:9" ht="12.75" customHeight="1" x14ac:dyDescent="0.25">
      <c r="A102" s="1194"/>
      <c r="B102" s="1439" t="s">
        <v>3516</v>
      </c>
      <c r="C102" s="1439"/>
      <c r="D102" s="1439"/>
      <c r="E102" s="1439"/>
      <c r="F102" s="1439"/>
      <c r="G102" s="1439"/>
      <c r="H102" s="1439"/>
      <c r="I102" s="1439"/>
    </row>
    <row r="103" spans="1:9" s="1239" customFormat="1" ht="12.75" customHeight="1" x14ac:dyDescent="0.25">
      <c r="A103" s="1194"/>
      <c r="B103" s="1238" t="s">
        <v>3644</v>
      </c>
      <c r="C103" s="1238"/>
      <c r="D103" s="1238"/>
      <c r="E103" s="1238"/>
      <c r="F103" s="1238" t="s">
        <v>3645</v>
      </c>
      <c r="G103" s="1238"/>
      <c r="H103" s="1238" t="s">
        <v>3646</v>
      </c>
      <c r="I103" s="1238"/>
    </row>
    <row r="104" spans="1:9" s="1192" customFormat="1" ht="16.5" customHeight="1" x14ac:dyDescent="0.25">
      <c r="A104" s="1190"/>
      <c r="B104" s="1206" t="s">
        <v>3633</v>
      </c>
      <c r="C104" s="1206"/>
      <c r="D104" s="1206"/>
      <c r="E104" s="1206"/>
      <c r="F104" s="1206" t="s">
        <v>3634</v>
      </c>
      <c r="G104" s="1206"/>
      <c r="H104" s="1188" t="s">
        <v>3513</v>
      </c>
      <c r="I104" s="1188" t="s">
        <v>3514</v>
      </c>
    </row>
    <row r="105" spans="1:9" s="1192" customFormat="1" ht="16.5" customHeight="1" x14ac:dyDescent="0.25">
      <c r="A105" s="1190"/>
      <c r="B105" s="1206" t="s">
        <v>3633</v>
      </c>
      <c r="C105" s="1206"/>
      <c r="D105" s="1206"/>
      <c r="E105" s="1206"/>
      <c r="F105" s="1206" t="s">
        <v>3634</v>
      </c>
      <c r="G105" s="1206"/>
      <c r="H105" s="1188" t="s">
        <v>3513</v>
      </c>
      <c r="I105" s="1188" t="s">
        <v>3514</v>
      </c>
    </row>
    <row r="106" spans="1:9" s="1192" customFormat="1" ht="16.5" customHeight="1" x14ac:dyDescent="0.25">
      <c r="A106" s="1190"/>
      <c r="B106" s="1206" t="s">
        <v>3633</v>
      </c>
      <c r="C106" s="1206"/>
      <c r="D106" s="1206"/>
      <c r="E106" s="1206"/>
      <c r="F106" s="1206" t="s">
        <v>3634</v>
      </c>
      <c r="G106" s="1206"/>
      <c r="H106" s="1188" t="s">
        <v>3513</v>
      </c>
      <c r="I106" s="1188" t="s">
        <v>3514</v>
      </c>
    </row>
    <row r="107" spans="1:9" s="1192" customFormat="1" ht="16.5" customHeight="1" x14ac:dyDescent="0.25">
      <c r="A107" s="1190"/>
      <c r="B107" s="1206"/>
      <c r="C107" s="1206"/>
      <c r="D107" s="1206"/>
      <c r="E107" s="1206"/>
      <c r="F107" s="1206"/>
      <c r="G107" s="1206"/>
      <c r="H107" s="1188"/>
      <c r="I107" s="1188"/>
    </row>
    <row r="108" spans="1:9" s="1192" customFormat="1" ht="16.5" customHeight="1" x14ac:dyDescent="0.25">
      <c r="A108" s="1190"/>
      <c r="B108" s="1206"/>
      <c r="C108" s="1206"/>
      <c r="D108" s="1206"/>
      <c r="E108" s="1206"/>
      <c r="F108" s="1206"/>
      <c r="G108" s="1206"/>
      <c r="H108" s="1188"/>
      <c r="I108" s="1188"/>
    </row>
    <row r="109" spans="1:9" s="1192" customFormat="1" ht="9.6" customHeight="1" x14ac:dyDescent="0.25">
      <c r="A109" s="1190"/>
      <c r="B109" s="1206"/>
      <c r="C109" s="1206"/>
      <c r="D109" s="1206"/>
      <c r="E109" s="1206"/>
      <c r="F109" s="1206"/>
      <c r="G109" s="1206"/>
      <c r="H109" s="1188"/>
      <c r="I109" s="1188"/>
    </row>
    <row r="110" spans="1:9" ht="10.5" customHeight="1" x14ac:dyDescent="0.25">
      <c r="A110" s="1184"/>
      <c r="B110" s="1184"/>
      <c r="C110" s="1184"/>
      <c r="D110" s="1184"/>
      <c r="E110" s="1184"/>
      <c r="F110" s="1184"/>
      <c r="G110" s="1184"/>
      <c r="H110" s="1184"/>
      <c r="I110" s="1193" t="s">
        <v>74</v>
      </c>
    </row>
    <row r="111" spans="1:9" ht="24.75" customHeight="1" x14ac:dyDescent="0.25">
      <c r="A111" s="1194" t="s">
        <v>622</v>
      </c>
      <c r="B111" s="1434" t="s">
        <v>3537</v>
      </c>
      <c r="C111" s="1434"/>
      <c r="D111" s="1434"/>
      <c r="E111" s="1434"/>
      <c r="F111" s="1434"/>
      <c r="G111" s="1434"/>
      <c r="H111" s="1188" t="s">
        <v>3513</v>
      </c>
      <c r="I111" s="1188" t="s">
        <v>3514</v>
      </c>
    </row>
    <row r="112" spans="1:9" ht="12.75" customHeight="1" x14ac:dyDescent="0.25">
      <c r="A112" s="1194"/>
      <c r="B112" s="1439" t="s">
        <v>3538</v>
      </c>
      <c r="C112" s="1439"/>
      <c r="D112" s="1439"/>
      <c r="E112" s="1439"/>
      <c r="F112" s="1439"/>
      <c r="G112" s="1439"/>
      <c r="H112" s="1439"/>
      <c r="I112" s="1439"/>
    </row>
    <row r="113" spans="1:9" s="1192" customFormat="1" ht="16.5" customHeight="1" x14ac:dyDescent="0.25">
      <c r="A113" s="1190"/>
      <c r="B113" s="1435" t="s">
        <v>52</v>
      </c>
      <c r="C113" s="1435"/>
      <c r="D113" s="1435"/>
      <c r="E113" s="1435"/>
      <c r="F113" s="1435"/>
      <c r="G113" s="1435"/>
      <c r="H113" s="1435"/>
      <c r="I113" s="1435"/>
    </row>
    <row r="114" spans="1:9" s="1192" customFormat="1" ht="16.5" customHeight="1" x14ac:dyDescent="0.25">
      <c r="A114" s="1190"/>
      <c r="B114" s="1435" t="s">
        <v>52</v>
      </c>
      <c r="C114" s="1435"/>
      <c r="D114" s="1435"/>
      <c r="E114" s="1435"/>
      <c r="F114" s="1435"/>
      <c r="G114" s="1435"/>
      <c r="H114" s="1435"/>
      <c r="I114" s="1435"/>
    </row>
    <row r="115" spans="1:9" ht="3" customHeight="1" x14ac:dyDescent="0.25">
      <c r="A115" s="1184"/>
      <c r="B115" s="1184"/>
      <c r="C115" s="1184"/>
      <c r="D115" s="1184"/>
      <c r="E115" s="1184"/>
      <c r="F115" s="1184"/>
      <c r="G115" s="1184"/>
      <c r="H115" s="1184"/>
    </row>
    <row r="116" spans="1:9" ht="12.75" customHeight="1" x14ac:dyDescent="0.25">
      <c r="A116" s="1194" t="s">
        <v>623</v>
      </c>
      <c r="B116" s="1434" t="s">
        <v>3872</v>
      </c>
      <c r="C116" s="1434"/>
      <c r="D116" s="1434"/>
      <c r="E116" s="1434"/>
      <c r="F116" s="1434"/>
      <c r="G116" s="1434"/>
      <c r="H116" s="1188" t="s">
        <v>3513</v>
      </c>
      <c r="I116" s="1188" t="s">
        <v>3514</v>
      </c>
    </row>
    <row r="117" spans="1:9" ht="12.75" customHeight="1" x14ac:dyDescent="0.25">
      <c r="A117" s="1194"/>
      <c r="B117" s="1439" t="s">
        <v>3539</v>
      </c>
      <c r="C117" s="1439"/>
      <c r="D117" s="1439"/>
      <c r="E117" s="1439"/>
      <c r="F117" s="1439"/>
      <c r="G117" s="1439"/>
      <c r="H117" s="1439"/>
      <c r="I117" s="1439"/>
    </row>
    <row r="118" spans="1:9" s="1192" customFormat="1" ht="16.5" customHeight="1" x14ac:dyDescent="0.25">
      <c r="A118" s="1190"/>
      <c r="B118" s="1435" t="s">
        <v>52</v>
      </c>
      <c r="C118" s="1435"/>
      <c r="D118" s="1435"/>
      <c r="E118" s="1435"/>
      <c r="F118" s="1435"/>
      <c r="G118" s="1435"/>
      <c r="H118" s="1435"/>
      <c r="I118" s="1435"/>
    </row>
    <row r="119" spans="1:9" s="1192" customFormat="1" ht="16.5" customHeight="1" x14ac:dyDescent="0.25">
      <c r="A119" s="1190"/>
      <c r="B119" s="1435" t="s">
        <v>52</v>
      </c>
      <c r="C119" s="1435"/>
      <c r="D119" s="1435"/>
      <c r="E119" s="1435"/>
      <c r="F119" s="1435"/>
      <c r="G119" s="1435"/>
      <c r="H119" s="1435"/>
      <c r="I119" s="1435"/>
    </row>
    <row r="120" spans="1:9" s="1192" customFormat="1" ht="16.5" customHeight="1" x14ac:dyDescent="0.25">
      <c r="A120" s="1190"/>
      <c r="B120" s="1435" t="s">
        <v>52</v>
      </c>
      <c r="C120" s="1435"/>
      <c r="D120" s="1435"/>
      <c r="E120" s="1435"/>
      <c r="F120" s="1435"/>
      <c r="G120" s="1435"/>
      <c r="H120" s="1435"/>
      <c r="I120" s="1435"/>
    </row>
    <row r="121" spans="1:9" ht="3" customHeight="1" x14ac:dyDescent="0.25">
      <c r="A121" s="1184"/>
      <c r="B121" s="1184"/>
      <c r="C121" s="1184"/>
      <c r="D121" s="1184"/>
      <c r="E121" s="1184"/>
      <c r="F121" s="1184"/>
      <c r="G121" s="1184"/>
      <c r="H121" s="1184"/>
    </row>
    <row r="122" spans="1:9" s="1339" customFormat="1" ht="25.2" customHeight="1" x14ac:dyDescent="0.25">
      <c r="A122" s="1194" t="s">
        <v>26</v>
      </c>
      <c r="B122" s="1434" t="s">
        <v>3873</v>
      </c>
      <c r="C122" s="1434"/>
      <c r="D122" s="1434"/>
      <c r="E122" s="1434"/>
      <c r="F122" s="1434"/>
      <c r="G122" s="1434"/>
      <c r="H122" s="1188" t="s">
        <v>3513</v>
      </c>
      <c r="I122" s="1188" t="s">
        <v>3514</v>
      </c>
    </row>
    <row r="123" spans="1:9" s="1339" customFormat="1" ht="12.75" customHeight="1" x14ac:dyDescent="0.25">
      <c r="A123" s="1194"/>
      <c r="B123" s="1439" t="s">
        <v>3874</v>
      </c>
      <c r="C123" s="1439"/>
      <c r="D123" s="1439"/>
      <c r="E123" s="1439"/>
      <c r="F123" s="1439"/>
      <c r="G123" s="1439"/>
      <c r="H123" s="1439"/>
      <c r="I123" s="1439"/>
    </row>
    <row r="124" spans="1:9" s="1192" customFormat="1" ht="16.5" customHeight="1" x14ac:dyDescent="0.25">
      <c r="A124" s="1190"/>
      <c r="B124" s="1435" t="s">
        <v>52</v>
      </c>
      <c r="C124" s="1435"/>
      <c r="D124" s="1435"/>
      <c r="E124" s="1435"/>
      <c r="F124" s="1435"/>
      <c r="G124" s="1435"/>
      <c r="H124" s="1435"/>
      <c r="I124" s="1435"/>
    </row>
    <row r="125" spans="1:9" s="1192" customFormat="1" ht="16.5" customHeight="1" x14ac:dyDescent="0.25">
      <c r="A125" s="1190"/>
      <c r="B125" s="1435" t="s">
        <v>52</v>
      </c>
      <c r="C125" s="1435"/>
      <c r="D125" s="1435"/>
      <c r="E125" s="1435"/>
      <c r="F125" s="1435"/>
      <c r="G125" s="1435"/>
      <c r="H125" s="1435"/>
      <c r="I125" s="1435"/>
    </row>
    <row r="126" spans="1:9" s="1192" customFormat="1" ht="16.5" customHeight="1" x14ac:dyDescent="0.25">
      <c r="A126" s="1190"/>
      <c r="B126" s="1435" t="s">
        <v>52</v>
      </c>
      <c r="C126" s="1435"/>
      <c r="D126" s="1435"/>
      <c r="E126" s="1435"/>
      <c r="F126" s="1435"/>
      <c r="G126" s="1435"/>
      <c r="H126" s="1435"/>
      <c r="I126" s="1435"/>
    </row>
    <row r="127" spans="1:9" s="1339" customFormat="1" ht="3" customHeight="1" x14ac:dyDescent="0.25">
      <c r="A127" s="1184"/>
      <c r="B127" s="1184"/>
      <c r="C127" s="1184"/>
      <c r="D127" s="1184"/>
      <c r="E127" s="1184"/>
      <c r="F127" s="1184"/>
      <c r="G127" s="1184"/>
      <c r="H127" s="1184"/>
    </row>
    <row r="128" spans="1:9" s="1190" customFormat="1" ht="15" customHeight="1" x14ac:dyDescent="0.2">
      <c r="A128" s="1190" t="s">
        <v>28</v>
      </c>
      <c r="B128" s="1200" t="s">
        <v>3540</v>
      </c>
      <c r="C128" s="1206" t="s">
        <v>80</v>
      </c>
      <c r="D128" s="1200" t="s">
        <v>3541</v>
      </c>
      <c r="E128" s="1200"/>
      <c r="F128" s="1184" t="s">
        <v>3542</v>
      </c>
      <c r="G128" s="1206" t="s">
        <v>82</v>
      </c>
      <c r="H128" s="1200"/>
    </row>
    <row r="129" spans="1:9" s="1184" customFormat="1" ht="15.6" customHeight="1" x14ac:dyDescent="0.2"/>
    <row r="130" spans="1:9" ht="12.75" customHeight="1" x14ac:dyDescent="0.25">
      <c r="A130" s="1180" t="s">
        <v>69</v>
      </c>
      <c r="B130" s="1432" t="s">
        <v>3543</v>
      </c>
      <c r="C130" s="1432"/>
      <c r="D130" s="1432"/>
      <c r="E130" s="1432"/>
      <c r="F130" s="1432"/>
      <c r="G130" s="1432"/>
      <c r="H130" s="1432"/>
      <c r="I130" s="1432"/>
    </row>
    <row r="131" spans="1:9" ht="6.75" customHeight="1" x14ac:dyDescent="0.25">
      <c r="A131" s="1433"/>
      <c r="B131" s="1433"/>
      <c r="C131" s="1433"/>
      <c r="D131" s="1433"/>
      <c r="E131" s="1433"/>
      <c r="F131" s="1433"/>
      <c r="G131" s="1433"/>
      <c r="H131" s="1433"/>
    </row>
    <row r="132" spans="1:9" x14ac:dyDescent="0.25">
      <c r="A132" s="1184" t="s">
        <v>3544</v>
      </c>
      <c r="B132" s="1184"/>
      <c r="C132" s="1178" t="str">
        <f>VLOOKUP(Input!K5,Input!L5:M7,2,FALSE)</f>
        <v>SE: Eintritt vor 50</v>
      </c>
      <c r="E132" s="1184"/>
      <c r="F132" s="1184"/>
      <c r="G132" s="1184"/>
      <c r="H132" s="1184"/>
    </row>
    <row r="133" spans="1:9" x14ac:dyDescent="0.25">
      <c r="A133" s="1184" t="s">
        <v>3162</v>
      </c>
      <c r="B133" s="1184"/>
      <c r="C133" s="1178" t="str">
        <f>'Ausweis-Certificat'!F9</f>
        <v>22011001</v>
      </c>
      <c r="E133" s="1184"/>
      <c r="F133" s="1184"/>
      <c r="G133" s="1184"/>
      <c r="H133" s="1184"/>
    </row>
    <row r="134" spans="1:9" x14ac:dyDescent="0.25">
      <c r="A134" s="1184" t="s">
        <v>3545</v>
      </c>
      <c r="B134" s="1184"/>
      <c r="C134" s="1208">
        <f>'Ausweis-Certificat'!E9</f>
        <v>423</v>
      </c>
      <c r="E134" s="1184"/>
      <c r="F134" s="1184"/>
      <c r="G134" s="1184"/>
      <c r="H134" s="1184"/>
    </row>
    <row r="135" spans="1:9" x14ac:dyDescent="0.25">
      <c r="A135" s="1184" t="s">
        <v>3546</v>
      </c>
      <c r="B135" s="1184"/>
      <c r="C135" s="1207">
        <f>Input!K32</f>
        <v>25</v>
      </c>
      <c r="E135" s="1184"/>
      <c r="F135" s="1184"/>
      <c r="G135" s="1184"/>
      <c r="H135" s="1184"/>
    </row>
    <row r="136" spans="1:9" x14ac:dyDescent="0.25">
      <c r="A136" s="1184" t="str">
        <f>IF(Wertebereich!B68=1,"","Rendita AI")</f>
        <v>Rendita AI</v>
      </c>
      <c r="B136" s="1184"/>
      <c r="C136" s="1207" t="str">
        <f>IF(Wertebereich!B68=1,"",CONCATENATE(VLOOKUP(Wertebereich!B68,Wertebereich!B70:C82,2,FALSE)*100,"%"))</f>
        <v>40%</v>
      </c>
      <c r="E136" s="1184"/>
      <c r="F136" s="1184"/>
      <c r="G136" s="1184"/>
      <c r="H136" s="1184"/>
    </row>
    <row r="137" spans="1:9" x14ac:dyDescent="0.25">
      <c r="A137" s="1184" t="str">
        <f>IF(Wertebereich!B44=1,"","Capitale decesso")</f>
        <v/>
      </c>
      <c r="B137" s="1184"/>
      <c r="C137" s="1272" t="str">
        <f>IF(Wertebereich!B44=1,"",IF(Wertebereich!B44=6,"Avere di vecchiaia",CONCATENATE(VLOOKUP(Wertebereich!B44,Wertebereich!B46:C49,2,FALSE)*100,"%")))</f>
        <v/>
      </c>
      <c r="E137" s="1184"/>
      <c r="F137" s="1184"/>
      <c r="G137" s="1184"/>
      <c r="H137" s="1184"/>
    </row>
    <row r="138" spans="1:9" x14ac:dyDescent="0.25">
      <c r="A138" s="1184" t="s">
        <v>3547</v>
      </c>
      <c r="B138" s="1184"/>
      <c r="C138" s="1207" t="str">
        <f>'Ausweis-Certificat'!J9</f>
        <v>102_</v>
      </c>
      <c r="E138" s="1184"/>
      <c r="F138" s="1184" t="s">
        <v>3808</v>
      </c>
      <c r="G138" s="1184"/>
      <c r="H138" s="1275">
        <f>IF(Input!E47="",50%,1-Input!E47)</f>
        <v>0.5</v>
      </c>
    </row>
    <row r="139" spans="1:9" x14ac:dyDescent="0.25">
      <c r="A139" s="1184"/>
      <c r="B139" s="1184"/>
      <c r="C139" s="1184"/>
      <c r="D139" s="1184"/>
      <c r="E139" s="1184"/>
      <c r="F139" s="1184"/>
      <c r="G139" s="1184"/>
      <c r="H139" s="1184"/>
    </row>
    <row r="140" spans="1:9" customFormat="1" ht="12.75" customHeight="1" x14ac:dyDescent="0.25">
      <c r="A140" s="739" t="s">
        <v>70</v>
      </c>
      <c r="B140" s="1423" t="s">
        <v>3548</v>
      </c>
      <c r="C140" s="1423"/>
      <c r="D140" s="1423"/>
      <c r="E140" s="1423"/>
      <c r="F140" s="1423"/>
      <c r="G140" s="1423"/>
      <c r="H140" s="1423"/>
      <c r="I140" s="1423"/>
    </row>
    <row r="141" spans="1:9" customFormat="1" ht="6.75" customHeight="1" x14ac:dyDescent="0.25">
      <c r="A141" s="1437"/>
      <c r="B141" s="1437"/>
      <c r="C141" s="1437"/>
      <c r="D141" s="1437"/>
      <c r="E141" s="1437"/>
      <c r="F141" s="1437"/>
      <c r="G141" s="1437"/>
      <c r="H141" s="1437"/>
    </row>
    <row r="142" spans="1:9" customFormat="1" ht="24" customHeight="1" x14ac:dyDescent="0.25">
      <c r="A142" s="1431" t="s">
        <v>3890</v>
      </c>
      <c r="B142" s="1438"/>
      <c r="C142" s="1438"/>
      <c r="D142" s="1438"/>
      <c r="E142" s="1438"/>
      <c r="F142" s="1438"/>
      <c r="G142" s="989"/>
      <c r="H142" s="1188" t="s">
        <v>3513</v>
      </c>
      <c r="I142" s="1188" t="s">
        <v>3514</v>
      </c>
    </row>
    <row r="143" spans="1:9" customFormat="1" ht="6.75" customHeight="1" x14ac:dyDescent="0.25">
      <c r="A143" s="989"/>
      <c r="B143" s="989"/>
      <c r="C143" s="989"/>
      <c r="D143" s="989"/>
      <c r="E143" s="989"/>
      <c r="F143" s="989"/>
      <c r="G143" s="989"/>
      <c r="H143" s="989"/>
    </row>
    <row r="144" spans="1:9" customFormat="1" ht="16.5" customHeight="1" x14ac:dyDescent="0.25">
      <c r="A144" s="989" t="s">
        <v>3549</v>
      </c>
      <c r="B144" s="989"/>
      <c r="C144" s="1407" t="s">
        <v>2103</v>
      </c>
      <c r="D144" s="1407"/>
      <c r="E144" s="1407"/>
      <c r="F144" s="1407"/>
      <c r="G144" s="1407"/>
      <c r="H144" s="1407"/>
      <c r="I144" s="1407"/>
    </row>
    <row r="145" spans="1:9" customFormat="1" ht="6" customHeight="1" x14ac:dyDescent="0.25">
      <c r="A145" s="989"/>
      <c r="B145" s="989"/>
      <c r="C145" s="1340"/>
      <c r="D145" s="1340"/>
      <c r="E145" s="1340"/>
      <c r="F145" s="1340"/>
      <c r="G145" s="1340"/>
      <c r="H145" s="1340"/>
      <c r="I145" s="1340"/>
    </row>
    <row r="146" spans="1:9" customFormat="1" ht="16.2" customHeight="1" x14ac:dyDescent="0.25">
      <c r="A146" s="989" t="s">
        <v>3888</v>
      </c>
      <c r="B146" s="989"/>
      <c r="C146" s="1340" t="s">
        <v>3889</v>
      </c>
      <c r="D146" s="1340"/>
      <c r="E146" s="1340"/>
      <c r="F146" s="1340" t="s">
        <v>3923</v>
      </c>
      <c r="G146" s="1340"/>
      <c r="H146" s="1340"/>
      <c r="I146" s="1340"/>
    </row>
    <row r="147" spans="1:9" customFormat="1" ht="6.75" customHeight="1" x14ac:dyDescent="0.25">
      <c r="A147" s="989"/>
      <c r="B147" s="989"/>
      <c r="C147" s="989"/>
      <c r="D147" s="989"/>
      <c r="E147" s="989"/>
      <c r="F147" s="989"/>
      <c r="G147" s="989"/>
      <c r="H147" s="989"/>
    </row>
    <row r="148" spans="1:9" customFormat="1" ht="22.5" customHeight="1" x14ac:dyDescent="0.25">
      <c r="A148" s="1431" t="s">
        <v>3550</v>
      </c>
      <c r="B148" s="1431"/>
      <c r="C148" s="1431"/>
      <c r="D148" s="1431"/>
      <c r="E148" s="1431"/>
      <c r="F148" s="1431"/>
      <c r="G148" s="1431"/>
      <c r="H148" s="1431"/>
      <c r="I148" s="1431"/>
    </row>
    <row r="149" spans="1:9" customFormat="1" x14ac:dyDescent="0.25">
      <c r="A149" s="989"/>
      <c r="B149" s="989"/>
      <c r="C149" s="989"/>
      <c r="D149" s="989"/>
      <c r="E149" s="989"/>
      <c r="F149" s="989"/>
      <c r="G149" s="989"/>
      <c r="H149" s="989"/>
    </row>
    <row r="150" spans="1:9" ht="12.75" customHeight="1" x14ac:dyDescent="0.25">
      <c r="A150" s="1180" t="s">
        <v>245</v>
      </c>
      <c r="B150" s="1432" t="s">
        <v>3551</v>
      </c>
      <c r="C150" s="1432"/>
      <c r="D150" s="1432"/>
      <c r="E150" s="1432"/>
      <c r="F150" s="1432"/>
      <c r="G150" s="1432"/>
      <c r="H150" s="1432"/>
      <c r="I150" s="1432"/>
    </row>
    <row r="151" spans="1:9" ht="6.75" customHeight="1" x14ac:dyDescent="0.25">
      <c r="A151" s="1433"/>
      <c r="B151" s="1433"/>
      <c r="C151" s="1433"/>
      <c r="D151" s="1433"/>
      <c r="E151" s="1433"/>
      <c r="F151" s="1433"/>
      <c r="G151" s="1433"/>
      <c r="H151" s="1433"/>
    </row>
    <row r="152" spans="1:9" ht="108.75" customHeight="1" x14ac:dyDescent="0.25">
      <c r="A152" s="1434" t="s">
        <v>3904</v>
      </c>
      <c r="B152" s="1434"/>
      <c r="C152" s="1434"/>
      <c r="D152" s="1434"/>
      <c r="E152" s="1434"/>
      <c r="F152" s="1434"/>
      <c r="G152" s="1434"/>
      <c r="H152" s="1434"/>
      <c r="I152" s="1434"/>
    </row>
    <row r="153" spans="1:9" x14ac:dyDescent="0.25">
      <c r="A153" s="1184" t="s">
        <v>3552</v>
      </c>
      <c r="B153" s="1184"/>
      <c r="C153" s="1184"/>
      <c r="D153" s="1184"/>
      <c r="E153" s="1184"/>
      <c r="F153" s="1184" t="s">
        <v>3553</v>
      </c>
      <c r="G153" s="1184"/>
      <c r="H153" s="1184"/>
    </row>
    <row r="154" spans="1:9" ht="39" customHeight="1" x14ac:dyDescent="0.25">
      <c r="A154" s="1435" t="s">
        <v>47</v>
      </c>
      <c r="B154" s="1435"/>
      <c r="C154" s="1435"/>
      <c r="D154" s="1435"/>
      <c r="E154" s="1184"/>
      <c r="F154" s="1436" t="s">
        <v>32</v>
      </c>
      <c r="G154" s="1436"/>
      <c r="H154" s="1436"/>
      <c r="I154" s="1436"/>
    </row>
    <row r="155" spans="1:9" x14ac:dyDescent="0.25">
      <c r="A155" s="1184"/>
      <c r="B155" s="1184"/>
      <c r="C155" s="1184"/>
      <c r="D155" s="1184"/>
      <c r="E155" s="1184"/>
      <c r="F155" s="1184"/>
      <c r="G155" s="1184"/>
      <c r="H155" s="1184"/>
    </row>
    <row r="156" spans="1:9" x14ac:dyDescent="0.25">
      <c r="A156" s="1184"/>
      <c r="B156" s="1184"/>
      <c r="C156" s="1184"/>
      <c r="D156" s="1184"/>
      <c r="E156" s="1184"/>
      <c r="F156" s="1184"/>
      <c r="G156" s="1184"/>
      <c r="H156" s="1184"/>
    </row>
    <row r="157" spans="1:9" x14ac:dyDescent="0.25">
      <c r="A157" s="1184"/>
      <c r="B157" s="1184"/>
      <c r="C157" s="1184"/>
      <c r="D157" s="1184"/>
      <c r="E157" s="1184"/>
      <c r="F157" s="1184"/>
      <c r="G157" s="1184"/>
      <c r="H157" s="1184"/>
    </row>
    <row r="158" spans="1:9" x14ac:dyDescent="0.25">
      <c r="A158" s="1184"/>
      <c r="B158" s="1184"/>
      <c r="C158" s="1184"/>
      <c r="D158" s="1184"/>
      <c r="E158" s="1184"/>
      <c r="F158" s="1184"/>
      <c r="G158" s="1184"/>
      <c r="H158" s="1184"/>
    </row>
    <row r="159" spans="1:9" x14ac:dyDescent="0.25">
      <c r="A159" s="1184"/>
      <c r="B159" s="1184"/>
      <c r="C159" s="1184"/>
      <c r="D159" s="1184"/>
      <c r="E159" s="1184"/>
      <c r="F159" s="1184"/>
      <c r="G159" s="1184"/>
      <c r="H159" s="1184"/>
    </row>
    <row r="160" spans="1:9" x14ac:dyDescent="0.25">
      <c r="A160" s="1184"/>
      <c r="B160" s="1184"/>
      <c r="C160" s="1184"/>
      <c r="D160" s="1184"/>
      <c r="E160" s="1184"/>
      <c r="F160" s="1184"/>
      <c r="G160" s="1184"/>
      <c r="H160" s="1184"/>
    </row>
    <row r="161" spans="1:9" x14ac:dyDescent="0.25">
      <c r="A161" s="1184"/>
      <c r="B161" s="1184"/>
      <c r="C161" s="1184"/>
      <c r="D161" s="1184"/>
      <c r="E161" s="1184"/>
      <c r="F161" s="1184"/>
      <c r="G161" s="1184"/>
      <c r="H161" s="1184"/>
    </row>
    <row r="162" spans="1:9" ht="51.75" customHeight="1" x14ac:dyDescent="0.25">
      <c r="A162" s="1184"/>
      <c r="B162" s="1184"/>
      <c r="C162" s="1184"/>
      <c r="D162" s="1184"/>
      <c r="E162" s="1184"/>
      <c r="F162" s="1184"/>
      <c r="G162" s="1184"/>
      <c r="H162" s="1184"/>
      <c r="I162" s="1193" t="s">
        <v>75</v>
      </c>
    </row>
    <row r="163" spans="1:9" x14ac:dyDescent="0.25">
      <c r="A163" s="1184"/>
      <c r="B163" s="1184"/>
      <c r="C163" s="1184"/>
      <c r="D163" s="1184"/>
      <c r="E163" s="1184"/>
      <c r="F163" s="1184"/>
      <c r="G163" s="1184"/>
      <c r="H163" s="1184"/>
    </row>
    <row r="164" spans="1:9" x14ac:dyDescent="0.25">
      <c r="A164" s="1184"/>
      <c r="B164" s="1184"/>
      <c r="C164" s="1184"/>
      <c r="D164" s="1184"/>
      <c r="E164" s="1184"/>
      <c r="F164" s="1184"/>
      <c r="G164" s="1184"/>
      <c r="H164" s="1184"/>
    </row>
    <row r="165" spans="1:9" x14ac:dyDescent="0.25">
      <c r="A165" s="1184"/>
      <c r="B165" s="1184"/>
      <c r="C165" s="1184"/>
      <c r="D165" s="1184"/>
      <c r="E165" s="1184"/>
      <c r="F165" s="1184"/>
      <c r="G165" s="1184"/>
      <c r="H165" s="1184"/>
    </row>
    <row r="166" spans="1:9" x14ac:dyDescent="0.25">
      <c r="A166" s="1184"/>
      <c r="B166" s="1184"/>
      <c r="C166" s="1184"/>
      <c r="D166" s="1184"/>
      <c r="E166" s="1184"/>
      <c r="F166" s="1184"/>
      <c r="G166" s="1184"/>
      <c r="H166" s="1184"/>
    </row>
    <row r="167" spans="1:9" x14ac:dyDescent="0.25">
      <c r="A167" s="1184"/>
      <c r="B167" s="1184"/>
      <c r="C167" s="1184"/>
      <c r="D167" s="1184"/>
      <c r="E167" s="1184"/>
      <c r="F167" s="1184"/>
      <c r="G167" s="1184"/>
      <c r="H167" s="1184"/>
    </row>
    <row r="168" spans="1:9" x14ac:dyDescent="0.25">
      <c r="A168" s="1184"/>
      <c r="B168" s="1184"/>
      <c r="C168" s="1184"/>
      <c r="D168" s="1184"/>
      <c r="E168" s="1184"/>
      <c r="F168" s="1184"/>
      <c r="G168" s="1184"/>
      <c r="H168" s="1184"/>
    </row>
    <row r="169" spans="1:9" x14ac:dyDescent="0.25">
      <c r="A169" s="1184"/>
      <c r="B169" s="1184"/>
      <c r="C169" s="1184"/>
      <c r="D169" s="1184"/>
      <c r="E169" s="1184"/>
      <c r="F169" s="1184"/>
      <c r="G169" s="1184"/>
      <c r="H169" s="1184"/>
    </row>
    <row r="170" spans="1:9" x14ac:dyDescent="0.25">
      <c r="A170" s="1184"/>
      <c r="B170" s="1184"/>
      <c r="C170" s="1184"/>
      <c r="D170" s="1184"/>
      <c r="E170" s="1184"/>
      <c r="F170" s="1184"/>
      <c r="G170" s="1184"/>
      <c r="H170" s="1184"/>
    </row>
    <row r="171" spans="1:9" x14ac:dyDescent="0.25">
      <c r="A171" s="1184"/>
      <c r="B171" s="1184"/>
      <c r="C171" s="1184"/>
      <c r="D171" s="1184"/>
      <c r="E171" s="1184"/>
      <c r="F171" s="1184"/>
      <c r="G171" s="1184"/>
      <c r="H171" s="1184"/>
    </row>
    <row r="172" spans="1:9" x14ac:dyDescent="0.25">
      <c r="A172" s="1184"/>
      <c r="B172" s="1184"/>
      <c r="C172" s="1184"/>
      <c r="D172" s="1184"/>
      <c r="E172" s="1184"/>
      <c r="F172" s="1184"/>
      <c r="G172" s="1184"/>
      <c r="H172" s="1184"/>
    </row>
    <row r="173" spans="1:9" x14ac:dyDescent="0.25">
      <c r="A173" s="1184"/>
      <c r="B173" s="1184"/>
      <c r="C173" s="1184"/>
      <c r="D173" s="1184"/>
      <c r="E173" s="1184"/>
      <c r="F173" s="1184"/>
      <c r="G173" s="1184"/>
      <c r="H173" s="1184"/>
    </row>
    <row r="174" spans="1:9" x14ac:dyDescent="0.25">
      <c r="A174" s="1184"/>
      <c r="B174" s="1184"/>
      <c r="C174" s="1184"/>
      <c r="D174" s="1184"/>
      <c r="E174" s="1184"/>
      <c r="F174" s="1184"/>
      <c r="G174" s="1184"/>
      <c r="H174" s="1184"/>
    </row>
    <row r="175" spans="1:9" x14ac:dyDescent="0.25">
      <c r="A175" s="1184"/>
      <c r="B175" s="1184"/>
      <c r="C175" s="1184"/>
      <c r="D175" s="1184"/>
      <c r="E175" s="1184"/>
      <c r="F175" s="1184"/>
      <c r="G175" s="1184"/>
      <c r="H175" s="1184"/>
    </row>
    <row r="176" spans="1:9" x14ac:dyDescent="0.25">
      <c r="A176" s="1184"/>
      <c r="B176" s="1184"/>
      <c r="C176" s="1184"/>
      <c r="D176" s="1184"/>
      <c r="E176" s="1184"/>
      <c r="F176" s="1184"/>
      <c r="G176" s="1184"/>
      <c r="H176" s="1184"/>
    </row>
    <row r="177" spans="1:8" x14ac:dyDescent="0.25">
      <c r="A177" s="1184"/>
      <c r="B177" s="1184"/>
      <c r="C177" s="1184"/>
      <c r="D177" s="1184"/>
      <c r="E177" s="1184"/>
      <c r="F177" s="1184"/>
      <c r="G177" s="1184"/>
      <c r="H177" s="1184"/>
    </row>
    <row r="178" spans="1:8" x14ac:dyDescent="0.25">
      <c r="A178" s="1184"/>
      <c r="B178" s="1184"/>
      <c r="C178" s="1184"/>
      <c r="D178" s="1184"/>
      <c r="E178" s="1184"/>
      <c r="F178" s="1184"/>
      <c r="G178" s="1184"/>
      <c r="H178" s="1184"/>
    </row>
    <row r="179" spans="1:8" x14ac:dyDescent="0.25">
      <c r="A179" s="1184"/>
      <c r="B179" s="1184"/>
      <c r="C179" s="1184"/>
      <c r="D179" s="1184"/>
      <c r="E179" s="1184"/>
      <c r="F179" s="1184"/>
      <c r="G179" s="1184"/>
      <c r="H179" s="1184"/>
    </row>
    <row r="180" spans="1:8" x14ac:dyDescent="0.25">
      <c r="A180" s="1184"/>
      <c r="B180" s="1184"/>
      <c r="C180" s="1184"/>
      <c r="D180" s="1184"/>
      <c r="E180" s="1184"/>
      <c r="F180" s="1184"/>
      <c r="G180" s="1184"/>
      <c r="H180" s="1184"/>
    </row>
    <row r="181" spans="1:8" x14ac:dyDescent="0.25">
      <c r="A181" s="1184"/>
      <c r="B181" s="1184"/>
      <c r="C181" s="1184"/>
      <c r="D181" s="1184"/>
      <c r="E181" s="1184"/>
      <c r="F181" s="1184"/>
      <c r="G181" s="1184"/>
      <c r="H181" s="1184"/>
    </row>
    <row r="182" spans="1:8" x14ac:dyDescent="0.25">
      <c r="A182" s="1184"/>
      <c r="B182" s="1184"/>
      <c r="C182" s="1184"/>
      <c r="D182" s="1184"/>
      <c r="E182" s="1184"/>
      <c r="F182" s="1184"/>
      <c r="G182" s="1184"/>
      <c r="H182" s="1184"/>
    </row>
    <row r="183" spans="1:8" x14ac:dyDescent="0.25">
      <c r="A183" s="1184"/>
      <c r="B183" s="1184"/>
      <c r="C183" s="1184"/>
      <c r="D183" s="1184"/>
      <c r="E183" s="1184"/>
      <c r="F183" s="1184"/>
      <c r="G183" s="1184"/>
      <c r="H183" s="1184"/>
    </row>
    <row r="184" spans="1:8" x14ac:dyDescent="0.25">
      <c r="A184" s="1184"/>
      <c r="B184" s="1184"/>
      <c r="C184" s="1184"/>
      <c r="D184" s="1184"/>
      <c r="E184" s="1184"/>
      <c r="F184" s="1184"/>
      <c r="G184" s="1184"/>
      <c r="H184" s="1184"/>
    </row>
    <row r="185" spans="1:8" x14ac:dyDescent="0.25">
      <c r="A185" s="1184"/>
      <c r="B185" s="1184"/>
      <c r="C185" s="1184"/>
      <c r="D185" s="1184"/>
      <c r="E185" s="1184"/>
      <c r="F185" s="1184"/>
      <c r="G185" s="1184"/>
      <c r="H185" s="1184"/>
    </row>
    <row r="186" spans="1:8" x14ac:dyDescent="0.25">
      <c r="A186" s="1184"/>
      <c r="B186" s="1184"/>
      <c r="C186" s="1184"/>
      <c r="D186" s="1184"/>
      <c r="E186" s="1184"/>
      <c r="F186" s="1184"/>
      <c r="G186" s="1184"/>
      <c r="H186" s="1184"/>
    </row>
    <row r="187" spans="1:8" x14ac:dyDescent="0.25">
      <c r="A187" s="1184"/>
      <c r="B187" s="1184"/>
      <c r="C187" s="1184"/>
      <c r="D187" s="1184"/>
      <c r="E187" s="1184"/>
      <c r="F187" s="1184"/>
      <c r="G187" s="1184"/>
      <c r="H187" s="1184"/>
    </row>
    <row r="188" spans="1:8" x14ac:dyDescent="0.25">
      <c r="A188" s="1184"/>
      <c r="B188" s="1184"/>
      <c r="C188" s="1184"/>
      <c r="D188" s="1184"/>
      <c r="E188" s="1184"/>
      <c r="F188" s="1184"/>
      <c r="G188" s="1184"/>
      <c r="H188" s="1184"/>
    </row>
    <row r="189" spans="1:8" x14ac:dyDescent="0.25">
      <c r="A189" s="1184"/>
      <c r="B189" s="1184"/>
      <c r="C189" s="1184"/>
      <c r="D189" s="1184"/>
      <c r="E189" s="1184"/>
      <c r="F189" s="1184"/>
      <c r="G189" s="1184"/>
      <c r="H189" s="1184"/>
    </row>
    <row r="190" spans="1:8" x14ac:dyDescent="0.25">
      <c r="A190" s="1184"/>
      <c r="B190" s="1184"/>
      <c r="C190" s="1184"/>
      <c r="D190" s="1184"/>
      <c r="E190" s="1184"/>
      <c r="F190" s="1184"/>
      <c r="G190" s="1184"/>
      <c r="H190" s="1184"/>
    </row>
    <row r="191" spans="1:8" x14ac:dyDescent="0.25">
      <c r="A191" s="1184"/>
      <c r="B191" s="1184"/>
      <c r="C191" s="1184"/>
      <c r="D191" s="1184"/>
      <c r="E191" s="1184"/>
      <c r="F191" s="1184"/>
      <c r="G191" s="1184"/>
      <c r="H191" s="1184"/>
    </row>
    <row r="192" spans="1:8" x14ac:dyDescent="0.25">
      <c r="A192" s="1184"/>
      <c r="B192" s="1184"/>
      <c r="C192" s="1184"/>
      <c r="D192" s="1184"/>
      <c r="E192" s="1184"/>
      <c r="F192" s="1184"/>
      <c r="G192" s="1184"/>
      <c r="H192" s="1184"/>
    </row>
    <row r="193" spans="1:8" x14ac:dyDescent="0.25">
      <c r="A193" s="1184"/>
      <c r="B193" s="1184"/>
      <c r="C193" s="1184"/>
      <c r="D193" s="1184"/>
      <c r="E193" s="1184"/>
      <c r="F193" s="1184"/>
      <c r="G193" s="1184"/>
      <c r="H193" s="1184"/>
    </row>
    <row r="194" spans="1:8" x14ac:dyDescent="0.25">
      <c r="A194" s="1184"/>
      <c r="B194" s="1184"/>
      <c r="C194" s="1184"/>
      <c r="D194" s="1184"/>
      <c r="E194" s="1184"/>
      <c r="F194" s="1184"/>
      <c r="G194" s="1184"/>
      <c r="H194" s="1184"/>
    </row>
    <row r="195" spans="1:8" x14ac:dyDescent="0.25">
      <c r="A195" s="1184"/>
      <c r="B195" s="1184"/>
      <c r="C195" s="1184"/>
      <c r="D195" s="1184"/>
      <c r="E195" s="1184"/>
      <c r="F195" s="1184"/>
      <c r="G195" s="1184"/>
      <c r="H195" s="1184"/>
    </row>
    <row r="196" spans="1:8" x14ac:dyDescent="0.25">
      <c r="A196" s="1184"/>
      <c r="B196" s="1184"/>
      <c r="C196" s="1184"/>
      <c r="D196" s="1184"/>
      <c r="E196" s="1184"/>
      <c r="F196" s="1184"/>
      <c r="G196" s="1184"/>
      <c r="H196" s="1184"/>
    </row>
    <row r="197" spans="1:8" x14ac:dyDescent="0.25">
      <c r="A197" s="1184"/>
      <c r="B197" s="1184"/>
      <c r="C197" s="1184"/>
      <c r="D197" s="1184"/>
      <c r="E197" s="1184"/>
      <c r="F197" s="1184"/>
      <c r="G197" s="1184"/>
      <c r="H197" s="1184"/>
    </row>
    <row r="198" spans="1:8" x14ac:dyDescent="0.25">
      <c r="A198" s="1184"/>
      <c r="B198" s="1184"/>
      <c r="C198" s="1184"/>
      <c r="D198" s="1184"/>
      <c r="E198" s="1184"/>
      <c r="F198" s="1184"/>
      <c r="G198" s="1184"/>
      <c r="H198" s="1184"/>
    </row>
    <row r="199" spans="1:8" x14ac:dyDescent="0.25">
      <c r="A199" s="1184"/>
      <c r="B199" s="1184"/>
      <c r="C199" s="1184"/>
      <c r="D199" s="1184"/>
      <c r="E199" s="1184"/>
      <c r="F199" s="1184"/>
      <c r="G199" s="1184"/>
      <c r="H199" s="1184"/>
    </row>
    <row r="200" spans="1:8" x14ac:dyDescent="0.25">
      <c r="A200" s="1184"/>
      <c r="B200" s="1184"/>
      <c r="C200" s="1184"/>
      <c r="D200" s="1184"/>
      <c r="E200" s="1184"/>
      <c r="F200" s="1184"/>
      <c r="G200" s="1184"/>
      <c r="H200" s="1184"/>
    </row>
    <row r="201" spans="1:8" x14ac:dyDescent="0.25">
      <c r="A201" s="1184"/>
      <c r="B201" s="1184"/>
      <c r="C201" s="1184"/>
      <c r="D201" s="1184"/>
      <c r="E201" s="1184"/>
      <c r="F201" s="1184"/>
      <c r="G201" s="1184"/>
      <c r="H201" s="1184"/>
    </row>
    <row r="202" spans="1:8" x14ac:dyDescent="0.25">
      <c r="A202" s="1184"/>
      <c r="B202" s="1184"/>
      <c r="C202" s="1184"/>
      <c r="D202" s="1184"/>
      <c r="E202" s="1184"/>
      <c r="F202" s="1184"/>
      <c r="G202" s="1184"/>
      <c r="H202" s="1184"/>
    </row>
    <row r="203" spans="1:8" x14ac:dyDescent="0.25">
      <c r="A203" s="1184"/>
      <c r="B203" s="1184"/>
      <c r="C203" s="1184"/>
      <c r="D203" s="1184"/>
      <c r="E203" s="1184"/>
      <c r="F203" s="1184"/>
      <c r="G203" s="1184"/>
      <c r="H203" s="1184"/>
    </row>
    <row r="204" spans="1:8" x14ac:dyDescent="0.25">
      <c r="A204" s="1184"/>
      <c r="B204" s="1184"/>
      <c r="C204" s="1184"/>
      <c r="D204" s="1184"/>
      <c r="E204" s="1184"/>
      <c r="F204" s="1184"/>
      <c r="G204" s="1184"/>
      <c r="H204" s="1184"/>
    </row>
    <row r="205" spans="1:8" x14ac:dyDescent="0.25">
      <c r="A205" s="1184"/>
      <c r="B205" s="1184"/>
      <c r="C205" s="1184"/>
      <c r="D205" s="1184"/>
      <c r="E205" s="1184"/>
      <c r="F205" s="1184"/>
      <c r="G205" s="1184"/>
      <c r="H205" s="1184"/>
    </row>
    <row r="206" spans="1:8" x14ac:dyDescent="0.25">
      <c r="A206" s="1184"/>
      <c r="B206" s="1184"/>
      <c r="C206" s="1184"/>
      <c r="D206" s="1184"/>
      <c r="E206" s="1184"/>
      <c r="F206" s="1184"/>
      <c r="G206" s="1184"/>
      <c r="H206" s="1184"/>
    </row>
    <row r="207" spans="1:8" x14ac:dyDescent="0.25">
      <c r="A207" s="1184"/>
      <c r="B207" s="1184"/>
      <c r="C207" s="1184"/>
      <c r="D207" s="1184"/>
      <c r="E207" s="1184"/>
      <c r="F207" s="1184"/>
      <c r="G207" s="1184"/>
      <c r="H207" s="1184"/>
    </row>
    <row r="208" spans="1:8" x14ac:dyDescent="0.25">
      <c r="A208" s="1184"/>
      <c r="B208" s="1184"/>
      <c r="C208" s="1184"/>
      <c r="D208" s="1184"/>
      <c r="E208" s="1184"/>
      <c r="F208" s="1184"/>
      <c r="G208" s="1184"/>
      <c r="H208" s="1184"/>
    </row>
    <row r="209" spans="1:8" x14ac:dyDescent="0.25">
      <c r="A209" s="1184"/>
      <c r="B209" s="1184"/>
      <c r="C209" s="1184"/>
      <c r="D209" s="1184"/>
      <c r="E209" s="1184"/>
      <c r="F209" s="1184"/>
      <c r="G209" s="1184"/>
      <c r="H209" s="1184"/>
    </row>
    <row r="210" spans="1:8" x14ac:dyDescent="0.25">
      <c r="A210" s="1184"/>
      <c r="B210" s="1184"/>
      <c r="C210" s="1184"/>
      <c r="D210" s="1184"/>
      <c r="E210" s="1184"/>
      <c r="F210" s="1184"/>
      <c r="G210" s="1184"/>
      <c r="H210" s="1184"/>
    </row>
    <row r="211" spans="1:8" x14ac:dyDescent="0.25">
      <c r="A211" s="1184"/>
      <c r="B211" s="1184"/>
      <c r="C211" s="1184"/>
      <c r="D211" s="1184"/>
      <c r="E211" s="1184"/>
      <c r="F211" s="1184"/>
      <c r="G211" s="1184"/>
      <c r="H211" s="1184"/>
    </row>
    <row r="212" spans="1:8" x14ac:dyDescent="0.25">
      <c r="A212" s="1184"/>
      <c r="B212" s="1184"/>
      <c r="C212" s="1184"/>
      <c r="D212" s="1184"/>
      <c r="E212" s="1184"/>
      <c r="F212" s="1184"/>
      <c r="G212" s="1184"/>
      <c r="H212" s="1184"/>
    </row>
    <row r="213" spans="1:8" x14ac:dyDescent="0.25">
      <c r="A213" s="1184"/>
      <c r="B213" s="1184"/>
      <c r="C213" s="1184"/>
      <c r="D213" s="1184"/>
      <c r="E213" s="1184"/>
      <c r="F213" s="1184"/>
      <c r="G213" s="1184"/>
      <c r="H213" s="1184"/>
    </row>
    <row r="214" spans="1:8" x14ac:dyDescent="0.25">
      <c r="A214" s="1184"/>
      <c r="B214" s="1184"/>
      <c r="C214" s="1184"/>
      <c r="D214" s="1184"/>
      <c r="E214" s="1184"/>
      <c r="F214" s="1184"/>
      <c r="G214" s="1184"/>
      <c r="H214" s="1184"/>
    </row>
    <row r="215" spans="1:8" x14ac:dyDescent="0.25">
      <c r="A215" s="1184"/>
      <c r="B215" s="1184"/>
      <c r="C215" s="1184"/>
      <c r="D215" s="1184"/>
      <c r="E215" s="1184"/>
      <c r="F215" s="1184"/>
      <c r="G215" s="1184"/>
      <c r="H215" s="1184"/>
    </row>
    <row r="216" spans="1:8" x14ac:dyDescent="0.25">
      <c r="A216" s="1184"/>
      <c r="B216" s="1184"/>
      <c r="C216" s="1184"/>
      <c r="D216" s="1184"/>
      <c r="E216" s="1184"/>
      <c r="F216" s="1184"/>
      <c r="G216" s="1184"/>
      <c r="H216" s="1184"/>
    </row>
    <row r="217" spans="1:8" x14ac:dyDescent="0.25">
      <c r="A217" s="1184"/>
      <c r="B217" s="1184"/>
      <c r="C217" s="1184"/>
      <c r="D217" s="1184"/>
      <c r="E217" s="1184"/>
      <c r="F217" s="1184"/>
      <c r="G217" s="1184"/>
      <c r="H217" s="1184"/>
    </row>
    <row r="218" spans="1:8" x14ac:dyDescent="0.25">
      <c r="A218" s="1184"/>
      <c r="B218" s="1184"/>
      <c r="C218" s="1184"/>
      <c r="D218" s="1184"/>
      <c r="E218" s="1184"/>
      <c r="F218" s="1184"/>
      <c r="G218" s="1184"/>
      <c r="H218" s="1184"/>
    </row>
    <row r="219" spans="1:8" x14ac:dyDescent="0.25">
      <c r="A219" s="1184"/>
      <c r="B219" s="1184"/>
      <c r="C219" s="1184"/>
      <c r="D219" s="1184"/>
      <c r="E219" s="1184"/>
      <c r="F219" s="1184"/>
      <c r="G219" s="1184"/>
      <c r="H219" s="1184"/>
    </row>
    <row r="220" spans="1:8" x14ac:dyDescent="0.25">
      <c r="A220" s="1184"/>
      <c r="B220" s="1184"/>
      <c r="C220" s="1184"/>
      <c r="D220" s="1184"/>
      <c r="E220" s="1184"/>
      <c r="F220" s="1184"/>
      <c r="G220" s="1184"/>
      <c r="H220" s="1184"/>
    </row>
    <row r="221" spans="1:8" x14ac:dyDescent="0.25">
      <c r="A221" s="1184"/>
      <c r="B221" s="1184"/>
      <c r="C221" s="1184"/>
      <c r="D221" s="1184"/>
      <c r="E221" s="1184"/>
      <c r="F221" s="1184"/>
      <c r="G221" s="1184"/>
      <c r="H221" s="1184"/>
    </row>
    <row r="222" spans="1:8" x14ac:dyDescent="0.25">
      <c r="A222" s="1184"/>
      <c r="B222" s="1184"/>
      <c r="C222" s="1184"/>
      <c r="D222" s="1184"/>
      <c r="E222" s="1184"/>
      <c r="F222" s="1184"/>
      <c r="G222" s="1184"/>
      <c r="H222" s="1184"/>
    </row>
    <row r="223" spans="1:8" x14ac:dyDescent="0.25">
      <c r="A223" s="1184"/>
      <c r="B223" s="1184"/>
      <c r="C223" s="1184"/>
      <c r="D223" s="1184"/>
      <c r="E223" s="1184"/>
      <c r="F223" s="1184"/>
      <c r="G223" s="1184"/>
      <c r="H223" s="1184"/>
    </row>
    <row r="224" spans="1:8" x14ac:dyDescent="0.25">
      <c r="A224" s="1184"/>
      <c r="B224" s="1184"/>
      <c r="C224" s="1184"/>
      <c r="D224" s="1184"/>
      <c r="E224" s="1184"/>
      <c r="F224" s="1184"/>
      <c r="G224" s="1184"/>
      <c r="H224" s="1184"/>
    </row>
    <row r="225" spans="1:8" x14ac:dyDescent="0.25">
      <c r="A225" s="1184"/>
      <c r="B225" s="1184"/>
      <c r="C225" s="1184"/>
      <c r="D225" s="1184"/>
      <c r="E225" s="1184"/>
      <c r="F225" s="1184"/>
      <c r="G225" s="1184"/>
      <c r="H225" s="1184"/>
    </row>
    <row r="226" spans="1:8" x14ac:dyDescent="0.25">
      <c r="A226" s="1184"/>
      <c r="B226" s="1184"/>
      <c r="C226" s="1184"/>
      <c r="D226" s="1184"/>
      <c r="E226" s="1184"/>
      <c r="F226" s="1184"/>
      <c r="G226" s="1184"/>
      <c r="H226" s="1184"/>
    </row>
    <row r="227" spans="1:8" x14ac:dyDescent="0.25">
      <c r="A227" s="1184"/>
      <c r="B227" s="1184"/>
      <c r="C227" s="1184"/>
      <c r="D227" s="1184"/>
      <c r="E227" s="1184"/>
      <c r="F227" s="1184"/>
      <c r="G227" s="1184"/>
      <c r="H227" s="1184"/>
    </row>
    <row r="228" spans="1:8" x14ac:dyDescent="0.25">
      <c r="A228" s="1184"/>
      <c r="B228" s="1184"/>
      <c r="C228" s="1184"/>
      <c r="D228" s="1184"/>
      <c r="E228" s="1184"/>
      <c r="F228" s="1184"/>
      <c r="G228" s="1184"/>
      <c r="H228" s="1184"/>
    </row>
    <row r="229" spans="1:8" x14ac:dyDescent="0.25">
      <c r="A229" s="1184"/>
      <c r="B229" s="1184"/>
      <c r="C229" s="1184"/>
      <c r="D229" s="1184"/>
      <c r="E229" s="1184"/>
      <c r="F229" s="1184"/>
      <c r="G229" s="1184"/>
      <c r="H229" s="1184"/>
    </row>
    <row r="230" spans="1:8" x14ac:dyDescent="0.25">
      <c r="A230" s="1184"/>
      <c r="B230" s="1184"/>
      <c r="C230" s="1184"/>
      <c r="D230" s="1184"/>
      <c r="E230" s="1184"/>
      <c r="F230" s="1184"/>
      <c r="G230" s="1184"/>
      <c r="H230" s="1184"/>
    </row>
    <row r="231" spans="1:8" x14ac:dyDescent="0.25">
      <c r="A231" s="1184"/>
      <c r="B231" s="1184"/>
      <c r="C231" s="1184"/>
      <c r="D231" s="1184"/>
      <c r="E231" s="1184"/>
      <c r="F231" s="1184"/>
      <c r="G231" s="1184"/>
      <c r="H231" s="1184"/>
    </row>
    <row r="232" spans="1:8" x14ac:dyDescent="0.25">
      <c r="A232" s="1184"/>
      <c r="B232" s="1184"/>
      <c r="C232" s="1184"/>
      <c r="D232" s="1184"/>
      <c r="E232" s="1184"/>
      <c r="F232" s="1184"/>
      <c r="G232" s="1184"/>
      <c r="H232" s="1184"/>
    </row>
    <row r="233" spans="1:8" x14ac:dyDescent="0.25">
      <c r="A233" s="1184"/>
      <c r="B233" s="1184"/>
      <c r="C233" s="1184"/>
      <c r="D233" s="1184"/>
      <c r="E233" s="1184"/>
      <c r="F233" s="1184"/>
      <c r="G233" s="1184"/>
      <c r="H233" s="1184"/>
    </row>
    <row r="234" spans="1:8" x14ac:dyDescent="0.25">
      <c r="A234" s="1184"/>
      <c r="B234" s="1184"/>
      <c r="C234" s="1184"/>
      <c r="D234" s="1184"/>
      <c r="E234" s="1184"/>
      <c r="F234" s="1184"/>
      <c r="G234" s="1184"/>
      <c r="H234" s="1184"/>
    </row>
    <row r="235" spans="1:8" x14ac:dyDescent="0.25">
      <c r="A235" s="1184"/>
      <c r="B235" s="1184"/>
      <c r="C235" s="1184"/>
      <c r="D235" s="1184"/>
      <c r="E235" s="1184"/>
      <c r="F235" s="1184"/>
      <c r="G235" s="1184"/>
      <c r="H235" s="1184"/>
    </row>
    <row r="236" spans="1:8" x14ac:dyDescent="0.25">
      <c r="A236" s="1184"/>
      <c r="B236" s="1184"/>
      <c r="C236" s="1184"/>
      <c r="D236" s="1184"/>
      <c r="E236" s="1184"/>
      <c r="F236" s="1184"/>
      <c r="G236" s="1184"/>
      <c r="H236" s="1184"/>
    </row>
    <row r="237" spans="1:8" x14ac:dyDescent="0.25">
      <c r="A237" s="1184"/>
      <c r="B237" s="1184"/>
      <c r="C237" s="1184"/>
      <c r="D237" s="1184"/>
      <c r="E237" s="1184"/>
      <c r="F237" s="1184"/>
      <c r="G237" s="1184"/>
      <c r="H237" s="1184"/>
    </row>
    <row r="238" spans="1:8" x14ac:dyDescent="0.25">
      <c r="A238" s="1184"/>
      <c r="B238" s="1184"/>
      <c r="C238" s="1184"/>
      <c r="D238" s="1184"/>
      <c r="E238" s="1184"/>
      <c r="F238" s="1184"/>
      <c r="G238" s="1184"/>
      <c r="H238" s="1184"/>
    </row>
    <row r="239" spans="1:8" x14ac:dyDescent="0.25">
      <c r="A239" s="1184"/>
      <c r="B239" s="1184"/>
      <c r="C239" s="1184"/>
      <c r="D239" s="1184"/>
      <c r="E239" s="1184"/>
      <c r="F239" s="1184"/>
      <c r="G239" s="1184"/>
      <c r="H239" s="1184"/>
    </row>
    <row r="240" spans="1:8" x14ac:dyDescent="0.25">
      <c r="A240" s="1184"/>
      <c r="B240" s="1184"/>
      <c r="C240" s="1184"/>
      <c r="D240" s="1184"/>
      <c r="E240" s="1184"/>
      <c r="F240" s="1184"/>
      <c r="G240" s="1184"/>
      <c r="H240" s="1184"/>
    </row>
    <row r="241" spans="1:8" x14ac:dyDescent="0.25">
      <c r="A241" s="1184"/>
      <c r="B241" s="1184"/>
      <c r="C241" s="1184"/>
      <c r="D241" s="1184"/>
      <c r="E241" s="1184"/>
      <c r="F241" s="1184"/>
      <c r="G241" s="1184"/>
      <c r="H241" s="1184"/>
    </row>
    <row r="242" spans="1:8" x14ac:dyDescent="0.25">
      <c r="A242" s="1184"/>
      <c r="B242" s="1184"/>
      <c r="C242" s="1184"/>
      <c r="D242" s="1184"/>
      <c r="E242" s="1184"/>
      <c r="F242" s="1184"/>
      <c r="G242" s="1184"/>
      <c r="H242" s="1184"/>
    </row>
    <row r="243" spans="1:8" x14ac:dyDescent="0.25">
      <c r="A243" s="1184"/>
      <c r="B243" s="1184"/>
      <c r="C243" s="1184"/>
      <c r="D243" s="1184"/>
      <c r="E243" s="1184"/>
      <c r="F243" s="1184"/>
      <c r="G243" s="1184"/>
      <c r="H243" s="1184"/>
    </row>
    <row r="244" spans="1:8" x14ac:dyDescent="0.25">
      <c r="A244" s="1184"/>
      <c r="B244" s="1184"/>
      <c r="C244" s="1184"/>
      <c r="D244" s="1184"/>
      <c r="E244" s="1184"/>
      <c r="F244" s="1184"/>
      <c r="G244" s="1184"/>
      <c r="H244" s="1184"/>
    </row>
    <row r="245" spans="1:8" x14ac:dyDescent="0.25">
      <c r="A245" s="1184"/>
      <c r="B245" s="1184"/>
      <c r="C245" s="1184"/>
      <c r="D245" s="1184"/>
      <c r="E245" s="1184"/>
      <c r="F245" s="1184"/>
      <c r="G245" s="1184"/>
      <c r="H245" s="1184"/>
    </row>
    <row r="246" spans="1:8" x14ac:dyDescent="0.25">
      <c r="A246" s="1184"/>
      <c r="B246" s="1184"/>
      <c r="C246" s="1184"/>
      <c r="D246" s="1184"/>
      <c r="E246" s="1184"/>
      <c r="F246" s="1184"/>
      <c r="G246" s="1184"/>
      <c r="H246" s="1184"/>
    </row>
    <row r="247" spans="1:8" x14ac:dyDescent="0.25">
      <c r="A247" s="1184"/>
      <c r="B247" s="1184"/>
      <c r="C247" s="1184"/>
      <c r="D247" s="1184"/>
      <c r="E247" s="1184"/>
      <c r="F247" s="1184"/>
      <c r="G247" s="1184"/>
      <c r="H247" s="1184"/>
    </row>
    <row r="248" spans="1:8" x14ac:dyDescent="0.25">
      <c r="A248" s="1184"/>
      <c r="B248" s="1184"/>
      <c r="C248" s="1184"/>
      <c r="D248" s="1184"/>
      <c r="E248" s="1184"/>
      <c r="F248" s="1184"/>
      <c r="G248" s="1184"/>
      <c r="H248" s="1184"/>
    </row>
    <row r="249" spans="1:8" x14ac:dyDescent="0.25">
      <c r="A249" s="1184"/>
      <c r="B249" s="1184"/>
      <c r="C249" s="1184"/>
      <c r="D249" s="1184"/>
      <c r="E249" s="1184"/>
      <c r="F249" s="1184"/>
      <c r="G249" s="1184"/>
      <c r="H249" s="1184"/>
    </row>
    <row r="250" spans="1:8" x14ac:dyDescent="0.25">
      <c r="A250" s="1184"/>
      <c r="B250" s="1184"/>
      <c r="C250" s="1184"/>
      <c r="D250" s="1184"/>
      <c r="E250" s="1184"/>
      <c r="F250" s="1184"/>
      <c r="G250" s="1184"/>
      <c r="H250" s="1184"/>
    </row>
    <row r="251" spans="1:8" x14ac:dyDescent="0.25">
      <c r="A251" s="1184"/>
      <c r="B251" s="1184"/>
      <c r="C251" s="1184"/>
      <c r="D251" s="1184"/>
      <c r="E251" s="1184"/>
      <c r="F251" s="1184"/>
      <c r="G251" s="1184"/>
      <c r="H251" s="1184"/>
    </row>
    <row r="252" spans="1:8" x14ac:dyDescent="0.25">
      <c r="A252" s="1184"/>
      <c r="B252" s="1184"/>
      <c r="C252" s="1184"/>
      <c r="D252" s="1184"/>
      <c r="E252" s="1184"/>
      <c r="F252" s="1184"/>
      <c r="G252" s="1184"/>
      <c r="H252" s="1184"/>
    </row>
    <row r="253" spans="1:8" x14ac:dyDescent="0.25">
      <c r="A253" s="1184"/>
      <c r="B253" s="1184"/>
      <c r="C253" s="1184"/>
      <c r="D253" s="1184"/>
      <c r="E253" s="1184"/>
      <c r="F253" s="1184"/>
      <c r="G253" s="1184"/>
      <c r="H253" s="1184"/>
    </row>
    <row r="254" spans="1:8" x14ac:dyDescent="0.25">
      <c r="A254" s="1184"/>
      <c r="B254" s="1184"/>
      <c r="C254" s="1184"/>
      <c r="D254" s="1184"/>
      <c r="E254" s="1184"/>
      <c r="F254" s="1184"/>
      <c r="G254" s="1184"/>
      <c r="H254" s="1184"/>
    </row>
    <row r="255" spans="1:8" x14ac:dyDescent="0.25">
      <c r="A255" s="1184"/>
      <c r="B255" s="1184"/>
      <c r="C255" s="1184"/>
      <c r="D255" s="1184"/>
      <c r="E255" s="1184"/>
      <c r="F255" s="1184"/>
      <c r="G255" s="1184"/>
      <c r="H255" s="1184"/>
    </row>
    <row r="256" spans="1:8" x14ac:dyDescent="0.25">
      <c r="A256" s="1184"/>
      <c r="B256" s="1184"/>
      <c r="C256" s="1184"/>
      <c r="D256" s="1184"/>
      <c r="E256" s="1184"/>
      <c r="F256" s="1184"/>
      <c r="G256" s="1184"/>
      <c r="H256" s="1184"/>
    </row>
    <row r="257" spans="1:8" x14ac:dyDescent="0.25">
      <c r="A257" s="1184"/>
      <c r="B257" s="1184"/>
      <c r="C257" s="1184"/>
      <c r="D257" s="1184"/>
      <c r="E257" s="1184"/>
      <c r="F257" s="1184"/>
      <c r="G257" s="1184"/>
      <c r="H257" s="1184"/>
    </row>
    <row r="258" spans="1:8" x14ac:dyDescent="0.25">
      <c r="A258" s="1184"/>
      <c r="B258" s="1184"/>
      <c r="C258" s="1184"/>
      <c r="D258" s="1184"/>
      <c r="E258" s="1184"/>
      <c r="F258" s="1184"/>
      <c r="G258" s="1184"/>
      <c r="H258" s="1184"/>
    </row>
    <row r="259" spans="1:8" x14ac:dyDescent="0.25">
      <c r="A259" s="1184"/>
      <c r="B259" s="1184"/>
      <c r="C259" s="1184"/>
      <c r="D259" s="1184"/>
      <c r="E259" s="1184"/>
      <c r="F259" s="1184"/>
      <c r="G259" s="1184"/>
      <c r="H259" s="1184"/>
    </row>
    <row r="260" spans="1:8" x14ac:dyDescent="0.25">
      <c r="A260" s="1184"/>
      <c r="B260" s="1184"/>
      <c r="C260" s="1184"/>
      <c r="D260" s="1184"/>
      <c r="E260" s="1184"/>
      <c r="F260" s="1184"/>
      <c r="G260" s="1184"/>
      <c r="H260" s="1184"/>
    </row>
    <row r="261" spans="1:8" x14ac:dyDescent="0.25">
      <c r="A261" s="1184"/>
      <c r="B261" s="1184"/>
      <c r="C261" s="1184"/>
      <c r="D261" s="1184"/>
      <c r="E261" s="1184"/>
      <c r="F261" s="1184"/>
      <c r="G261" s="1184"/>
      <c r="H261" s="1184"/>
    </row>
    <row r="262" spans="1:8" x14ac:dyDescent="0.25">
      <c r="A262" s="1184"/>
      <c r="B262" s="1184"/>
      <c r="C262" s="1184"/>
      <c r="D262" s="1184"/>
      <c r="E262" s="1184"/>
      <c r="F262" s="1184"/>
      <c r="G262" s="1184"/>
      <c r="H262" s="1184"/>
    </row>
    <row r="263" spans="1:8" x14ac:dyDescent="0.25">
      <c r="A263" s="1184"/>
      <c r="B263" s="1184"/>
      <c r="C263" s="1184"/>
      <c r="D263" s="1184"/>
      <c r="E263" s="1184"/>
      <c r="F263" s="1184"/>
      <c r="G263" s="1184"/>
      <c r="H263" s="1184"/>
    </row>
    <row r="264" spans="1:8" x14ac:dyDescent="0.25">
      <c r="A264" s="1184"/>
      <c r="B264" s="1184"/>
      <c r="C264" s="1184"/>
      <c r="D264" s="1184"/>
      <c r="E264" s="1184"/>
      <c r="F264" s="1184"/>
      <c r="G264" s="1184"/>
      <c r="H264" s="1184"/>
    </row>
    <row r="265" spans="1:8" x14ac:dyDescent="0.25">
      <c r="A265" s="1184"/>
      <c r="B265" s="1184"/>
      <c r="C265" s="1184"/>
      <c r="D265" s="1184"/>
      <c r="E265" s="1184"/>
      <c r="F265" s="1184"/>
      <c r="G265" s="1184"/>
      <c r="H265" s="1184"/>
    </row>
    <row r="266" spans="1:8" x14ac:dyDescent="0.25">
      <c r="A266" s="1184"/>
      <c r="B266" s="1184"/>
      <c r="C266" s="1184"/>
      <c r="D266" s="1184"/>
      <c r="E266" s="1184"/>
      <c r="F266" s="1184"/>
      <c r="G266" s="1184"/>
      <c r="H266" s="1184"/>
    </row>
    <row r="267" spans="1:8" x14ac:dyDescent="0.25">
      <c r="A267" s="1184"/>
      <c r="B267" s="1184"/>
      <c r="C267" s="1184"/>
      <c r="D267" s="1184"/>
      <c r="E267" s="1184"/>
      <c r="F267" s="1184"/>
      <c r="G267" s="1184"/>
      <c r="H267" s="1184"/>
    </row>
    <row r="268" spans="1:8" x14ac:dyDescent="0.25">
      <c r="A268" s="1184"/>
      <c r="B268" s="1184"/>
      <c r="C268" s="1184"/>
      <c r="D268" s="1184"/>
      <c r="E268" s="1184"/>
      <c r="F268" s="1184"/>
      <c r="G268" s="1184"/>
      <c r="H268" s="1184"/>
    </row>
    <row r="269" spans="1:8" x14ac:dyDescent="0.25">
      <c r="A269" s="1184"/>
      <c r="B269" s="1184"/>
      <c r="C269" s="1184"/>
      <c r="D269" s="1184"/>
      <c r="E269" s="1184"/>
      <c r="F269" s="1184"/>
      <c r="G269" s="1184"/>
      <c r="H269" s="1184"/>
    </row>
    <row r="270" spans="1:8" x14ac:dyDescent="0.25">
      <c r="A270" s="1184"/>
      <c r="B270" s="1184"/>
      <c r="C270" s="1184"/>
      <c r="D270" s="1184"/>
      <c r="E270" s="1184"/>
      <c r="F270" s="1184"/>
      <c r="G270" s="1184"/>
      <c r="H270" s="1184"/>
    </row>
    <row r="271" spans="1:8" x14ac:dyDescent="0.25">
      <c r="A271" s="1184"/>
      <c r="B271" s="1184"/>
      <c r="C271" s="1184"/>
      <c r="D271" s="1184"/>
      <c r="E271" s="1184"/>
      <c r="F271" s="1184"/>
      <c r="G271" s="1184"/>
      <c r="H271" s="1184"/>
    </row>
    <row r="272" spans="1:8" x14ac:dyDescent="0.25">
      <c r="A272" s="1184"/>
      <c r="B272" s="1184"/>
      <c r="C272" s="1184"/>
      <c r="D272" s="1184"/>
      <c r="E272" s="1184"/>
      <c r="F272" s="1184"/>
      <c r="G272" s="1184"/>
      <c r="H272" s="1184"/>
    </row>
    <row r="273" spans="1:8" x14ac:dyDescent="0.25">
      <c r="A273" s="1184"/>
      <c r="B273" s="1184"/>
      <c r="C273" s="1184"/>
      <c r="D273" s="1184"/>
      <c r="E273" s="1184"/>
      <c r="F273" s="1184"/>
      <c r="G273" s="1184"/>
      <c r="H273" s="1184"/>
    </row>
    <row r="274" spans="1:8" x14ac:dyDescent="0.25">
      <c r="A274" s="1184"/>
      <c r="B274" s="1184"/>
      <c r="C274" s="1184"/>
      <c r="D274" s="1184"/>
      <c r="E274" s="1184"/>
      <c r="F274" s="1184"/>
      <c r="G274" s="1184"/>
      <c r="H274" s="1184"/>
    </row>
    <row r="275" spans="1:8" x14ac:dyDescent="0.25">
      <c r="A275" s="1184"/>
      <c r="B275" s="1184"/>
      <c r="C275" s="1184"/>
      <c r="D275" s="1184"/>
      <c r="E275" s="1184"/>
      <c r="F275" s="1184"/>
      <c r="G275" s="1184"/>
      <c r="H275" s="1184"/>
    </row>
    <row r="276" spans="1:8" x14ac:dyDescent="0.25">
      <c r="A276" s="1184"/>
      <c r="B276" s="1184"/>
      <c r="C276" s="1184"/>
      <c r="D276" s="1184"/>
      <c r="E276" s="1184"/>
      <c r="F276" s="1184"/>
      <c r="G276" s="1184"/>
      <c r="H276" s="1184"/>
    </row>
    <row r="277" spans="1:8" x14ac:dyDescent="0.25">
      <c r="A277" s="1184"/>
      <c r="B277" s="1184"/>
      <c r="C277" s="1184"/>
      <c r="D277" s="1184"/>
      <c r="E277" s="1184"/>
      <c r="F277" s="1184"/>
      <c r="G277" s="1184"/>
      <c r="H277" s="1184"/>
    </row>
    <row r="278" spans="1:8" x14ac:dyDescent="0.25">
      <c r="A278" s="1184"/>
      <c r="B278" s="1184"/>
      <c r="C278" s="1184"/>
      <c r="D278" s="1184"/>
      <c r="E278" s="1184"/>
      <c r="F278" s="1184"/>
      <c r="G278" s="1184"/>
      <c r="H278" s="1184"/>
    </row>
    <row r="279" spans="1:8" x14ac:dyDescent="0.25">
      <c r="A279" s="1184"/>
      <c r="B279" s="1184"/>
      <c r="C279" s="1184"/>
      <c r="D279" s="1184"/>
      <c r="E279" s="1184"/>
      <c r="F279" s="1184"/>
      <c r="G279" s="1184"/>
      <c r="H279" s="1184"/>
    </row>
  </sheetData>
  <sheetProtection algorithmName="SHA-512" hashValue="ZNFDDC7fgus8Y/T0ZsuarUEyACxFQeZd91XYPC/ENmR+M9IKqIqOaXIJYNMye9RIShcX2dF+9oj1w9KkHmHhUA==" saltValue="8OIRRwSQG9A+NJQYTwtzUg==" spinCount="100000" sheet="1" objects="1" scenarios="1" selectLockedCells="1"/>
  <mergeCells count="127">
    <mergeCell ref="AP7:AV7"/>
    <mergeCell ref="AX7:BD7"/>
    <mergeCell ref="BF7:BL7"/>
    <mergeCell ref="A1:I1"/>
    <mergeCell ref="D3:E3"/>
    <mergeCell ref="A5:I5"/>
    <mergeCell ref="A6:H6"/>
    <mergeCell ref="B7:I7"/>
    <mergeCell ref="J7:P7"/>
    <mergeCell ref="HZ7:IF7"/>
    <mergeCell ref="IH7:IN7"/>
    <mergeCell ref="IP7:IV7"/>
    <mergeCell ref="FF7:FL7"/>
    <mergeCell ref="FN7:FT7"/>
    <mergeCell ref="FV7:GB7"/>
    <mergeCell ref="GD7:GJ7"/>
    <mergeCell ref="GL7:GR7"/>
    <mergeCell ref="GT7:GZ7"/>
    <mergeCell ref="A8:H8"/>
    <mergeCell ref="A9:I9"/>
    <mergeCell ref="A10:H10"/>
    <mergeCell ref="B11:I11"/>
    <mergeCell ref="A12:H12"/>
    <mergeCell ref="A13:I13"/>
    <mergeCell ref="HB7:HH7"/>
    <mergeCell ref="HJ7:HP7"/>
    <mergeCell ref="HR7:HX7"/>
    <mergeCell ref="DJ7:DP7"/>
    <mergeCell ref="DR7:DX7"/>
    <mergeCell ref="DZ7:EF7"/>
    <mergeCell ref="EH7:EN7"/>
    <mergeCell ref="EP7:EV7"/>
    <mergeCell ref="EX7:FD7"/>
    <mergeCell ref="BN7:BT7"/>
    <mergeCell ref="BV7:CB7"/>
    <mergeCell ref="CD7:CJ7"/>
    <mergeCell ref="CL7:CR7"/>
    <mergeCell ref="CT7:CZ7"/>
    <mergeCell ref="DB7:DH7"/>
    <mergeCell ref="R7:X7"/>
    <mergeCell ref="Z7:AF7"/>
    <mergeCell ref="AH7:AN7"/>
    <mergeCell ref="A20:H20"/>
    <mergeCell ref="A21:I21"/>
    <mergeCell ref="A22:H22"/>
    <mergeCell ref="B23:I23"/>
    <mergeCell ref="A24:H24"/>
    <mergeCell ref="A25:I25"/>
    <mergeCell ref="A14:H14"/>
    <mergeCell ref="B15:I15"/>
    <mergeCell ref="A16:H16"/>
    <mergeCell ref="A17:I17"/>
    <mergeCell ref="A18:H18"/>
    <mergeCell ref="B19:I19"/>
    <mergeCell ref="A34:H34"/>
    <mergeCell ref="A36:G36"/>
    <mergeCell ref="A37:H37"/>
    <mergeCell ref="A45:G45"/>
    <mergeCell ref="H45:I45"/>
    <mergeCell ref="B47:I47"/>
    <mergeCell ref="A26:I26"/>
    <mergeCell ref="A29:H29"/>
    <mergeCell ref="B30:I30"/>
    <mergeCell ref="A31:H31"/>
    <mergeCell ref="A33:D33"/>
    <mergeCell ref="F33:G33"/>
    <mergeCell ref="A46:G46"/>
    <mergeCell ref="B62:G62"/>
    <mergeCell ref="B64:I64"/>
    <mergeCell ref="B65:I65"/>
    <mergeCell ref="B67:G67"/>
    <mergeCell ref="B69:G69"/>
    <mergeCell ref="B71:G71"/>
    <mergeCell ref="A48:H48"/>
    <mergeCell ref="F50:I50"/>
    <mergeCell ref="B55:I55"/>
    <mergeCell ref="B56:I56"/>
    <mergeCell ref="F58:I58"/>
    <mergeCell ref="B60:G60"/>
    <mergeCell ref="B83:I83"/>
    <mergeCell ref="B85:G85"/>
    <mergeCell ref="B86:I86"/>
    <mergeCell ref="B87:I87"/>
    <mergeCell ref="B88:I88"/>
    <mergeCell ref="B90:G90"/>
    <mergeCell ref="B73:G73"/>
    <mergeCell ref="B77:I77"/>
    <mergeCell ref="A78:H78"/>
    <mergeCell ref="B79:G79"/>
    <mergeCell ref="B80:I80"/>
    <mergeCell ref="B82:G82"/>
    <mergeCell ref="B98:I98"/>
    <mergeCell ref="B99:I99"/>
    <mergeCell ref="B101:G101"/>
    <mergeCell ref="B102:I102"/>
    <mergeCell ref="B91:I91"/>
    <mergeCell ref="B92:I92"/>
    <mergeCell ref="B93:I93"/>
    <mergeCell ref="B94:I94"/>
    <mergeCell ref="B96:G96"/>
    <mergeCell ref="B97:I97"/>
    <mergeCell ref="B117:I117"/>
    <mergeCell ref="B118:I118"/>
    <mergeCell ref="B119:I119"/>
    <mergeCell ref="B120:I120"/>
    <mergeCell ref="B130:I130"/>
    <mergeCell ref="A131:H131"/>
    <mergeCell ref="B111:G111"/>
    <mergeCell ref="B112:I112"/>
    <mergeCell ref="B113:I113"/>
    <mergeCell ref="B114:I114"/>
    <mergeCell ref="B116:G116"/>
    <mergeCell ref="B122:G122"/>
    <mergeCell ref="B123:I123"/>
    <mergeCell ref="B124:I124"/>
    <mergeCell ref="B125:I125"/>
    <mergeCell ref="B126:I126"/>
    <mergeCell ref="A151:H151"/>
    <mergeCell ref="A152:I152"/>
    <mergeCell ref="A154:D154"/>
    <mergeCell ref="F154:I154"/>
    <mergeCell ref="B140:I140"/>
    <mergeCell ref="A141:H141"/>
    <mergeCell ref="A142:F142"/>
    <mergeCell ref="C144:I144"/>
    <mergeCell ref="A148:I148"/>
    <mergeCell ref="B150:I150"/>
  </mergeCells>
  <pageMargins left="0.59055118110236227" right="0.39370078740157483" top="0.39370078740157483" bottom="0.19685039370078741" header="0.51181102362204722" footer="0.51181102362204722"/>
  <pageSetup paperSize="9" fitToHeight="3" orientation="portrait" r:id="rId1"/>
  <headerFooter alignWithMargins="0"/>
  <rowBreaks count="1" manualBreakCount="1">
    <brk id="4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fitToPage="1"/>
  </sheetPr>
  <dimension ref="A1:IV232"/>
  <sheetViews>
    <sheetView showGridLines="0" zoomScale="180" workbookViewId="0">
      <selection activeCell="D4" sqref="D4"/>
    </sheetView>
  </sheetViews>
  <sheetFormatPr baseColWidth="10" defaultColWidth="11.44140625" defaultRowHeight="13.2" x14ac:dyDescent="0.25"/>
  <cols>
    <col min="1" max="1" width="5.44140625" style="752" customWidth="1"/>
    <col min="2" max="7" width="11.44140625" style="752"/>
    <col min="8" max="9" width="10.109375" style="752" customWidth="1"/>
    <col min="10" max="16384" width="11.44140625" style="752"/>
  </cols>
  <sheetData>
    <row r="1" spans="1:256" x14ac:dyDescent="0.25">
      <c r="A1" s="791" t="str">
        <f>IF(J4&lt;&gt;1,"BITTE TABELLENBLATT 'SELBSTÄNDIGERWERBENDER' AUSFÜLLEN!","Aus dem Tabellenblatt 'Input' werden übernommen: 'Anschluss per' und Vorsorgeplanangaben.")</f>
        <v>BITTE TABELLENBLATT 'SELBSTÄNDIGERWERBENDER' AUSFÜLLEN!</v>
      </c>
    </row>
    <row r="2" spans="1:256" ht="9.75" customHeight="1" x14ac:dyDescent="0.25">
      <c r="A2" s="791"/>
    </row>
    <row r="3" spans="1:256" ht="10.5" customHeight="1" x14ac:dyDescent="0.25"/>
    <row r="4" spans="1:256" x14ac:dyDescent="0.25">
      <c r="A4" s="756" t="s">
        <v>56</v>
      </c>
      <c r="D4" s="748" t="s">
        <v>78</v>
      </c>
      <c r="J4" s="757">
        <f>Input!K5</f>
        <v>2</v>
      </c>
    </row>
    <row r="5" spans="1:256" ht="37.5" customHeight="1" x14ac:dyDescent="0.25">
      <c r="A5" s="988"/>
    </row>
    <row r="6" spans="1:256" ht="19.5" customHeight="1" x14ac:dyDescent="0.25">
      <c r="A6" s="1476" t="s">
        <v>1276</v>
      </c>
      <c r="B6" s="1476"/>
      <c r="C6" s="1476"/>
      <c r="D6" s="1476"/>
      <c r="E6" s="1476"/>
      <c r="F6" s="1476"/>
      <c r="G6" s="1476"/>
      <c r="H6" s="1476"/>
      <c r="I6" s="1476"/>
    </row>
    <row r="7" spans="1:256" ht="10.5" customHeight="1" x14ac:dyDescent="0.25">
      <c r="A7" s="1478"/>
      <c r="B7" s="1478"/>
      <c r="C7" s="1478"/>
      <c r="D7" s="1478"/>
      <c r="E7" s="1478"/>
      <c r="F7" s="1478"/>
      <c r="G7" s="1478"/>
      <c r="H7" s="1478"/>
    </row>
    <row r="8" spans="1:256" ht="12.75" customHeight="1" x14ac:dyDescent="0.25">
      <c r="A8" s="758" t="s">
        <v>1140</v>
      </c>
      <c r="B8" s="1468" t="s">
        <v>612</v>
      </c>
      <c r="C8" s="1468"/>
      <c r="D8" s="1468"/>
      <c r="E8" s="1468"/>
      <c r="F8" s="1468"/>
      <c r="G8" s="1468"/>
      <c r="H8" s="1468"/>
      <c r="I8" s="1468"/>
      <c r="J8" s="1469"/>
      <c r="K8" s="1469"/>
      <c r="L8" s="1469"/>
      <c r="M8" s="1469"/>
      <c r="N8" s="1469"/>
      <c r="O8" s="1469"/>
      <c r="P8" s="1469"/>
      <c r="Q8" s="793"/>
      <c r="R8" s="1469"/>
      <c r="S8" s="1469"/>
      <c r="T8" s="1469"/>
      <c r="U8" s="1469"/>
      <c r="V8" s="1469"/>
      <c r="W8" s="1469"/>
      <c r="X8" s="1469"/>
      <c r="Y8" s="793"/>
      <c r="Z8" s="1469"/>
      <c r="AA8" s="1469"/>
      <c r="AB8" s="1469"/>
      <c r="AC8" s="1469"/>
      <c r="AD8" s="1469"/>
      <c r="AE8" s="1469"/>
      <c r="AF8" s="1469"/>
      <c r="AG8" s="793"/>
      <c r="AH8" s="1469"/>
      <c r="AI8" s="1469"/>
      <c r="AJ8" s="1469"/>
      <c r="AK8" s="1469"/>
      <c r="AL8" s="1469"/>
      <c r="AM8" s="1469"/>
      <c r="AN8" s="1469"/>
      <c r="AO8" s="793"/>
      <c r="AP8" s="1469"/>
      <c r="AQ8" s="1469"/>
      <c r="AR8" s="1469"/>
      <c r="AS8" s="1469"/>
      <c r="AT8" s="1469"/>
      <c r="AU8" s="1469"/>
      <c r="AV8" s="1469"/>
      <c r="AW8" s="793"/>
      <c r="AX8" s="1469"/>
      <c r="AY8" s="1469"/>
      <c r="AZ8" s="1469"/>
      <c r="BA8" s="1469"/>
      <c r="BB8" s="1469"/>
      <c r="BC8" s="1469"/>
      <c r="BD8" s="1469"/>
      <c r="BE8" s="793"/>
      <c r="BF8" s="1469"/>
      <c r="BG8" s="1469"/>
      <c r="BH8" s="1469"/>
      <c r="BI8" s="1469"/>
      <c r="BJ8" s="1469"/>
      <c r="BK8" s="1469"/>
      <c r="BL8" s="1469"/>
      <c r="BM8" s="793"/>
      <c r="BN8" s="1469"/>
      <c r="BO8" s="1469"/>
      <c r="BP8" s="1469"/>
      <c r="BQ8" s="1469"/>
      <c r="BR8" s="1469"/>
      <c r="BS8" s="1469"/>
      <c r="BT8" s="1469"/>
      <c r="BU8" s="793"/>
      <c r="BV8" s="1469"/>
      <c r="BW8" s="1469"/>
      <c r="BX8" s="1469"/>
      <c r="BY8" s="1469"/>
      <c r="BZ8" s="1469"/>
      <c r="CA8" s="1469"/>
      <c r="CB8" s="1469"/>
      <c r="CC8" s="793"/>
      <c r="CD8" s="1469"/>
      <c r="CE8" s="1469"/>
      <c r="CF8" s="1469"/>
      <c r="CG8" s="1469"/>
      <c r="CH8" s="1469"/>
      <c r="CI8" s="1469"/>
      <c r="CJ8" s="1469"/>
      <c r="CK8" s="793"/>
      <c r="CL8" s="1469"/>
      <c r="CM8" s="1469"/>
      <c r="CN8" s="1469"/>
      <c r="CO8" s="1469"/>
      <c r="CP8" s="1469"/>
      <c r="CQ8" s="1469"/>
      <c r="CR8" s="1469"/>
      <c r="CS8" s="793"/>
      <c r="CT8" s="1469"/>
      <c r="CU8" s="1469"/>
      <c r="CV8" s="1469"/>
      <c r="CW8" s="1469"/>
      <c r="CX8" s="1469"/>
      <c r="CY8" s="1469"/>
      <c r="CZ8" s="1469"/>
      <c r="DA8" s="793"/>
      <c r="DB8" s="1469"/>
      <c r="DC8" s="1469"/>
      <c r="DD8" s="1469"/>
      <c r="DE8" s="1469"/>
      <c r="DF8" s="1469"/>
      <c r="DG8" s="1469"/>
      <c r="DH8" s="1469"/>
      <c r="DI8" s="793"/>
      <c r="DJ8" s="1469"/>
      <c r="DK8" s="1469"/>
      <c r="DL8" s="1469"/>
      <c r="DM8" s="1469"/>
      <c r="DN8" s="1469"/>
      <c r="DO8" s="1469"/>
      <c r="DP8" s="1469"/>
      <c r="DQ8" s="793"/>
      <c r="DR8" s="1469"/>
      <c r="DS8" s="1469"/>
      <c r="DT8" s="1469"/>
      <c r="DU8" s="1469"/>
      <c r="DV8" s="1469"/>
      <c r="DW8" s="1469"/>
      <c r="DX8" s="1469"/>
      <c r="DY8" s="793"/>
      <c r="DZ8" s="1469"/>
      <c r="EA8" s="1469"/>
      <c r="EB8" s="1469"/>
      <c r="EC8" s="1469"/>
      <c r="ED8" s="1469"/>
      <c r="EE8" s="1469"/>
      <c r="EF8" s="1469"/>
      <c r="EG8" s="793"/>
      <c r="EH8" s="1469"/>
      <c r="EI8" s="1469"/>
      <c r="EJ8" s="1469"/>
      <c r="EK8" s="1469"/>
      <c r="EL8" s="1469"/>
      <c r="EM8" s="1469"/>
      <c r="EN8" s="1469"/>
      <c r="EO8" s="793"/>
      <c r="EP8" s="1469"/>
      <c r="EQ8" s="1469"/>
      <c r="ER8" s="1469"/>
      <c r="ES8" s="1469"/>
      <c r="ET8" s="1469"/>
      <c r="EU8" s="1469"/>
      <c r="EV8" s="1469"/>
      <c r="EW8" s="793"/>
      <c r="EX8" s="1469"/>
      <c r="EY8" s="1469"/>
      <c r="EZ8" s="1469"/>
      <c r="FA8" s="1469"/>
      <c r="FB8" s="1469"/>
      <c r="FC8" s="1469"/>
      <c r="FD8" s="1469"/>
      <c r="FE8" s="793"/>
      <c r="FF8" s="1469"/>
      <c r="FG8" s="1469"/>
      <c r="FH8" s="1469"/>
      <c r="FI8" s="1469"/>
      <c r="FJ8" s="1469"/>
      <c r="FK8" s="1469"/>
      <c r="FL8" s="1469"/>
      <c r="FM8" s="793"/>
      <c r="FN8" s="1469"/>
      <c r="FO8" s="1469"/>
      <c r="FP8" s="1469"/>
      <c r="FQ8" s="1469"/>
      <c r="FR8" s="1469"/>
      <c r="FS8" s="1469"/>
      <c r="FT8" s="1469"/>
      <c r="FU8" s="793"/>
      <c r="FV8" s="1469"/>
      <c r="FW8" s="1469"/>
      <c r="FX8" s="1469"/>
      <c r="FY8" s="1469"/>
      <c r="FZ8" s="1469"/>
      <c r="GA8" s="1469"/>
      <c r="GB8" s="1469"/>
      <c r="GC8" s="793"/>
      <c r="GD8" s="1469"/>
      <c r="GE8" s="1469"/>
      <c r="GF8" s="1469"/>
      <c r="GG8" s="1469"/>
      <c r="GH8" s="1469"/>
      <c r="GI8" s="1469"/>
      <c r="GJ8" s="1469"/>
      <c r="GK8" s="793"/>
      <c r="GL8" s="1469"/>
      <c r="GM8" s="1469"/>
      <c r="GN8" s="1469"/>
      <c r="GO8" s="1469"/>
      <c r="GP8" s="1469"/>
      <c r="GQ8" s="1469"/>
      <c r="GR8" s="1469"/>
      <c r="GS8" s="793"/>
      <c r="GT8" s="1469"/>
      <c r="GU8" s="1469"/>
      <c r="GV8" s="1469"/>
      <c r="GW8" s="1469"/>
      <c r="GX8" s="1469"/>
      <c r="GY8" s="1469"/>
      <c r="GZ8" s="1469"/>
      <c r="HA8" s="793"/>
      <c r="HB8" s="1469"/>
      <c r="HC8" s="1469"/>
      <c r="HD8" s="1469"/>
      <c r="HE8" s="1469"/>
      <c r="HF8" s="1469"/>
      <c r="HG8" s="1469"/>
      <c r="HH8" s="1469"/>
      <c r="HI8" s="793"/>
      <c r="HJ8" s="1469"/>
      <c r="HK8" s="1469"/>
      <c r="HL8" s="1469"/>
      <c r="HM8" s="1469"/>
      <c r="HN8" s="1469"/>
      <c r="HO8" s="1469"/>
      <c r="HP8" s="1469"/>
      <c r="HQ8" s="793"/>
      <c r="HR8" s="1469"/>
      <c r="HS8" s="1469"/>
      <c r="HT8" s="1469"/>
      <c r="HU8" s="1469"/>
      <c r="HV8" s="1469"/>
      <c r="HW8" s="1469"/>
      <c r="HX8" s="1469"/>
      <c r="HY8" s="793"/>
      <c r="HZ8" s="1469"/>
      <c r="IA8" s="1469"/>
      <c r="IB8" s="1469"/>
      <c r="IC8" s="1469"/>
      <c r="ID8" s="1469"/>
      <c r="IE8" s="1469"/>
      <c r="IF8" s="1469"/>
      <c r="IG8" s="793"/>
      <c r="IH8" s="1469"/>
      <c r="II8" s="1469"/>
      <c r="IJ8" s="1469"/>
      <c r="IK8" s="1469"/>
      <c r="IL8" s="1469"/>
      <c r="IM8" s="1469"/>
      <c r="IN8" s="1469"/>
      <c r="IO8" s="793"/>
      <c r="IP8" s="1469"/>
      <c r="IQ8" s="1469"/>
      <c r="IR8" s="1469"/>
      <c r="IS8" s="1469"/>
      <c r="IT8" s="1469"/>
      <c r="IU8" s="1469"/>
      <c r="IV8" s="1469"/>
    </row>
    <row r="9" spans="1:256" ht="6.75" customHeight="1" x14ac:dyDescent="0.25">
      <c r="A9" s="1465"/>
      <c r="B9" s="1477"/>
      <c r="C9" s="1477"/>
      <c r="D9" s="1477"/>
      <c r="E9" s="1477"/>
      <c r="F9" s="1477"/>
      <c r="G9" s="1477"/>
      <c r="H9" s="1477"/>
    </row>
    <row r="10" spans="1:256" ht="98.25" customHeight="1" x14ac:dyDescent="0.25">
      <c r="A10" s="1466" t="s">
        <v>3809</v>
      </c>
      <c r="B10" s="1467"/>
      <c r="C10" s="1467"/>
      <c r="D10" s="1467"/>
      <c r="E10" s="1467"/>
      <c r="F10" s="1467"/>
      <c r="G10" s="1467"/>
      <c r="H10" s="1467"/>
      <c r="I10" s="1467"/>
    </row>
    <row r="11" spans="1:256" ht="4.5" customHeight="1" x14ac:dyDescent="0.25">
      <c r="A11" s="1478"/>
      <c r="B11" s="1478"/>
      <c r="C11" s="1478"/>
      <c r="D11" s="1478"/>
      <c r="E11" s="1478"/>
      <c r="F11" s="1478"/>
      <c r="G11" s="1478"/>
      <c r="H11" s="1478"/>
    </row>
    <row r="12" spans="1:256" ht="12.75" customHeight="1" x14ac:dyDescent="0.25">
      <c r="A12" s="758" t="s">
        <v>1138</v>
      </c>
      <c r="B12" s="1468" t="s">
        <v>613</v>
      </c>
      <c r="C12" s="1468"/>
      <c r="D12" s="1468"/>
      <c r="E12" s="1468"/>
      <c r="F12" s="1468"/>
      <c r="G12" s="1468"/>
      <c r="H12" s="1468"/>
      <c r="I12" s="1468"/>
    </row>
    <row r="13" spans="1:256" ht="6.75" customHeight="1" x14ac:dyDescent="0.25">
      <c r="A13" s="1465"/>
      <c r="B13" s="1465"/>
      <c r="C13" s="1465"/>
      <c r="D13" s="1465"/>
      <c r="E13" s="1465"/>
      <c r="F13" s="1465"/>
      <c r="G13" s="1465"/>
      <c r="H13" s="1465"/>
    </row>
    <row r="14" spans="1:256" ht="36.75" customHeight="1" x14ac:dyDescent="0.25">
      <c r="A14" s="1467" t="s">
        <v>1277</v>
      </c>
      <c r="B14" s="1467"/>
      <c r="C14" s="1467"/>
      <c r="D14" s="1467"/>
      <c r="E14" s="1467"/>
      <c r="F14" s="1467"/>
      <c r="G14" s="1467"/>
      <c r="H14" s="1467"/>
      <c r="I14" s="1467"/>
    </row>
    <row r="15" spans="1:256" ht="7.5" customHeight="1" x14ac:dyDescent="0.25">
      <c r="A15" s="1467"/>
      <c r="B15" s="1467"/>
      <c r="C15" s="1467"/>
      <c r="D15" s="1467"/>
      <c r="E15" s="1467"/>
      <c r="F15" s="1467"/>
      <c r="G15" s="1467"/>
      <c r="H15" s="1467"/>
    </row>
    <row r="16" spans="1:256" ht="12.75" customHeight="1" x14ac:dyDescent="0.25">
      <c r="A16" s="758" t="s">
        <v>1139</v>
      </c>
      <c r="B16" s="1468" t="s">
        <v>2084</v>
      </c>
      <c r="C16" s="1468"/>
      <c r="D16" s="1468"/>
      <c r="E16" s="1468"/>
      <c r="F16" s="1468"/>
      <c r="G16" s="1468"/>
      <c r="H16" s="1468"/>
      <c r="I16" s="1468"/>
    </row>
    <row r="17" spans="1:9" ht="6.75" customHeight="1" x14ac:dyDescent="0.25">
      <c r="A17" s="1465"/>
      <c r="B17" s="1465"/>
      <c r="C17" s="1465"/>
      <c r="D17" s="1465"/>
      <c r="E17" s="1465"/>
      <c r="F17" s="1465"/>
      <c r="G17" s="1465"/>
      <c r="H17" s="1465"/>
    </row>
    <row r="18" spans="1:9" ht="82.5" customHeight="1" x14ac:dyDescent="0.25">
      <c r="A18" s="1466" t="s">
        <v>3625</v>
      </c>
      <c r="B18" s="1467"/>
      <c r="C18" s="1467"/>
      <c r="D18" s="1467"/>
      <c r="E18" s="1467"/>
      <c r="F18" s="1467"/>
      <c r="G18" s="1467"/>
      <c r="H18" s="1467"/>
      <c r="I18" s="1467"/>
    </row>
    <row r="19" spans="1:9" ht="7.5" customHeight="1" x14ac:dyDescent="0.25">
      <c r="A19" s="1467"/>
      <c r="B19" s="1467"/>
      <c r="C19" s="1467"/>
      <c r="D19" s="1467"/>
      <c r="E19" s="1467"/>
      <c r="F19" s="1467"/>
      <c r="G19" s="1467"/>
      <c r="H19" s="1467"/>
    </row>
    <row r="20" spans="1:9" ht="12.75" customHeight="1" x14ac:dyDescent="0.25">
      <c r="A20" s="758" t="s">
        <v>1143</v>
      </c>
      <c r="B20" s="1468" t="s">
        <v>616</v>
      </c>
      <c r="C20" s="1468"/>
      <c r="D20" s="1468"/>
      <c r="E20" s="1468"/>
      <c r="F20" s="1468"/>
      <c r="G20" s="1468"/>
      <c r="H20" s="1468"/>
      <c r="I20" s="1468"/>
    </row>
    <row r="21" spans="1:9" ht="6.75" customHeight="1" x14ac:dyDescent="0.25">
      <c r="A21" s="1465"/>
      <c r="B21" s="1465"/>
      <c r="C21" s="1465"/>
      <c r="D21" s="1465"/>
      <c r="E21" s="1465"/>
      <c r="F21" s="1465"/>
      <c r="G21" s="1465"/>
      <c r="H21" s="1465"/>
    </row>
    <row r="22" spans="1:9" ht="59.25" customHeight="1" x14ac:dyDescent="0.25">
      <c r="A22" s="1466" t="s">
        <v>3810</v>
      </c>
      <c r="B22" s="1466"/>
      <c r="C22" s="1466"/>
      <c r="D22" s="1466"/>
      <c r="E22" s="1466"/>
      <c r="F22" s="1466"/>
      <c r="G22" s="1466"/>
      <c r="H22" s="1466"/>
      <c r="I22" s="1466"/>
    </row>
    <row r="23" spans="1:9" ht="6.75" customHeight="1" x14ac:dyDescent="0.25">
      <c r="A23" s="1467"/>
      <c r="B23" s="1467"/>
      <c r="C23" s="1467"/>
      <c r="D23" s="1467"/>
      <c r="E23" s="1467"/>
      <c r="F23" s="1467"/>
      <c r="G23" s="1467"/>
      <c r="H23" s="1467"/>
    </row>
    <row r="24" spans="1:9" ht="12.75" customHeight="1" x14ac:dyDescent="0.25">
      <c r="A24" s="758" t="s">
        <v>65</v>
      </c>
      <c r="B24" s="1468" t="s">
        <v>1278</v>
      </c>
      <c r="C24" s="1468"/>
      <c r="D24" s="1468"/>
      <c r="E24" s="1468"/>
      <c r="F24" s="1468"/>
      <c r="G24" s="1468"/>
      <c r="H24" s="1468"/>
      <c r="I24" s="1468"/>
    </row>
    <row r="25" spans="1:9" ht="6.75" customHeight="1" x14ac:dyDescent="0.25">
      <c r="A25" s="1465"/>
      <c r="B25" s="1465"/>
      <c r="C25" s="1465"/>
      <c r="D25" s="1465"/>
      <c r="E25" s="1465"/>
      <c r="F25" s="1465"/>
      <c r="G25" s="1465"/>
      <c r="H25" s="1465"/>
    </row>
    <row r="26" spans="1:9" ht="36.75" customHeight="1" x14ac:dyDescent="0.25">
      <c r="A26" s="1467" t="s">
        <v>251</v>
      </c>
      <c r="B26" s="1467"/>
      <c r="C26" s="1467"/>
      <c r="D26" s="1467"/>
      <c r="E26" s="1467"/>
      <c r="F26" s="1467"/>
      <c r="G26" s="1467"/>
      <c r="H26" s="1467"/>
      <c r="I26" s="1467"/>
    </row>
    <row r="27" spans="1:9" ht="7.5" customHeight="1" x14ac:dyDescent="0.25">
      <c r="A27" s="1467"/>
      <c r="B27" s="1467"/>
      <c r="C27" s="1467"/>
      <c r="D27" s="1467"/>
      <c r="E27" s="1467"/>
      <c r="F27" s="1467"/>
      <c r="G27" s="1467"/>
      <c r="H27" s="1467"/>
    </row>
    <row r="28" spans="1:9" ht="12.75" customHeight="1" x14ac:dyDescent="0.25">
      <c r="A28" s="758" t="s">
        <v>66</v>
      </c>
      <c r="B28" s="1468" t="s">
        <v>615</v>
      </c>
      <c r="C28" s="1468"/>
      <c r="D28" s="1468"/>
      <c r="E28" s="1468"/>
      <c r="F28" s="1468"/>
      <c r="G28" s="1468"/>
      <c r="H28" s="1468"/>
      <c r="I28" s="1468"/>
    </row>
    <row r="29" spans="1:9" ht="6.75" customHeight="1" x14ac:dyDescent="0.25">
      <c r="A29" s="1465"/>
      <c r="B29" s="1465"/>
      <c r="C29" s="1465"/>
      <c r="D29" s="1465"/>
      <c r="E29" s="1465"/>
      <c r="F29" s="1465"/>
      <c r="G29" s="1465"/>
      <c r="H29" s="1465"/>
    </row>
    <row r="30" spans="1:9" ht="124.5" customHeight="1" x14ac:dyDescent="0.25">
      <c r="A30" s="1466" t="s">
        <v>3822</v>
      </c>
      <c r="B30" s="1467"/>
      <c r="C30" s="1467"/>
      <c r="D30" s="1467"/>
      <c r="E30" s="1467"/>
      <c r="F30" s="1467"/>
      <c r="G30" s="1467"/>
      <c r="H30" s="1467"/>
      <c r="I30" s="1467"/>
    </row>
    <row r="31" spans="1:9" ht="7.5" customHeight="1" x14ac:dyDescent="0.25">
      <c r="A31" s="1467"/>
      <c r="B31" s="1467"/>
      <c r="C31" s="1467"/>
      <c r="D31" s="1467"/>
      <c r="E31" s="1467"/>
      <c r="F31" s="1467"/>
      <c r="G31" s="1467"/>
      <c r="H31" s="1467"/>
    </row>
    <row r="32" spans="1:9" ht="12.75" customHeight="1" x14ac:dyDescent="0.25">
      <c r="A32" s="758" t="s">
        <v>67</v>
      </c>
      <c r="B32" s="1468" t="s">
        <v>1279</v>
      </c>
      <c r="C32" s="1468"/>
      <c r="D32" s="1468"/>
      <c r="E32" s="1468"/>
      <c r="F32" s="1468"/>
      <c r="G32" s="1468"/>
      <c r="H32" s="1468"/>
      <c r="I32" s="1468"/>
    </row>
    <row r="33" spans="1:9" ht="6.75" customHeight="1" x14ac:dyDescent="0.25">
      <c r="A33" s="1465"/>
      <c r="B33" s="1465"/>
      <c r="C33" s="1465"/>
      <c r="D33" s="1465"/>
      <c r="E33" s="1465"/>
      <c r="F33" s="1465"/>
      <c r="G33" s="1465"/>
      <c r="H33" s="1465"/>
    </row>
    <row r="34" spans="1:9" ht="62.25" customHeight="1" x14ac:dyDescent="0.25">
      <c r="A34" s="1466" t="s">
        <v>2086</v>
      </c>
      <c r="B34" s="1467"/>
      <c r="C34" s="1467"/>
      <c r="D34" s="1467"/>
      <c r="E34" s="1467"/>
      <c r="F34" s="1467"/>
      <c r="G34" s="1467"/>
      <c r="H34" s="1467"/>
      <c r="I34" s="1467"/>
    </row>
    <row r="35" spans="1:9" ht="12.75" customHeight="1" x14ac:dyDescent="0.25">
      <c r="A35" s="1479" t="s">
        <v>1642</v>
      </c>
      <c r="B35" s="1464"/>
      <c r="C35" s="1464"/>
      <c r="D35" s="1464"/>
      <c r="E35" s="1464"/>
      <c r="F35" s="1464"/>
      <c r="G35" s="1464"/>
      <c r="H35" s="1464"/>
      <c r="I35" s="1464"/>
    </row>
    <row r="36" spans="1:9" ht="12.75" customHeight="1" x14ac:dyDescent="0.25">
      <c r="A36" s="1464" t="str">
        <f>IF(Input!K51=1,"eine kollektive Krankentaggeldversicherung mit 720 oder mehr Taggeldern (gemäss Offerte).*","keine bzw. eine kollektive Krankentaggeldversicherung von 719 oder weniger Taggeldern")</f>
        <v>eine kollektive Krankentaggeldversicherung mit 720 oder mehr Taggeldern (gemäss Offerte).*</v>
      </c>
      <c r="B36" s="1464"/>
      <c r="C36" s="1464"/>
      <c r="D36" s="1464"/>
      <c r="E36" s="1464"/>
      <c r="F36" s="1464"/>
      <c r="G36" s="1464"/>
      <c r="H36" s="1464"/>
      <c r="I36" s="1464"/>
    </row>
    <row r="37" spans="1:9" ht="4.5" customHeight="1" x14ac:dyDescent="0.25">
      <c r="A37" s="1464" t="str">
        <f>IF(Input!K51=1,"","(gemäss Offerte Wartefrist 360 Tage; weiter zu Ziff. 8).")</f>
        <v/>
      </c>
      <c r="B37" s="1464"/>
      <c r="C37" s="1464"/>
      <c r="D37" s="1464"/>
      <c r="E37" s="1464"/>
      <c r="F37" s="1464"/>
      <c r="G37" s="1464"/>
      <c r="H37" s="1464"/>
      <c r="I37" s="1464"/>
    </row>
    <row r="38" spans="1:9" ht="4.5" customHeight="1" x14ac:dyDescent="0.25">
      <c r="A38" s="794"/>
      <c r="B38" s="792"/>
      <c r="C38" s="792"/>
      <c r="D38" s="792"/>
      <c r="E38" s="792"/>
      <c r="F38" s="792"/>
      <c r="G38" s="792"/>
      <c r="H38" s="792"/>
      <c r="I38" s="792"/>
    </row>
    <row r="39" spans="1:9" ht="39" customHeight="1" x14ac:dyDescent="0.25">
      <c r="A39" s="1462" t="s">
        <v>223</v>
      </c>
      <c r="B39" s="1463"/>
      <c r="C39" s="1463"/>
      <c r="D39" s="1463"/>
      <c r="E39" s="1463"/>
      <c r="F39" s="1463"/>
      <c r="G39" s="1463"/>
      <c r="H39" s="1463"/>
      <c r="I39" s="1463"/>
    </row>
    <row r="40" spans="1:9" ht="9" customHeight="1" x14ac:dyDescent="0.25">
      <c r="A40" s="751"/>
      <c r="B40" s="751"/>
      <c r="C40" s="751"/>
      <c r="D40" s="751"/>
      <c r="E40" s="751"/>
      <c r="F40" s="751"/>
      <c r="G40" s="751"/>
      <c r="H40" s="751"/>
      <c r="I40" s="795" t="s">
        <v>73</v>
      </c>
    </row>
    <row r="41" spans="1:9" ht="90.75" customHeight="1" x14ac:dyDescent="0.25">
      <c r="A41" s="1463" t="s">
        <v>254</v>
      </c>
      <c r="B41" s="1463"/>
      <c r="C41" s="1463"/>
      <c r="D41" s="1463"/>
      <c r="E41" s="1463"/>
      <c r="F41" s="1463"/>
      <c r="G41" s="1463"/>
      <c r="H41" s="1463"/>
      <c r="I41" s="1463"/>
    </row>
    <row r="42" spans="1:9" ht="12.75" customHeight="1" x14ac:dyDescent="0.25">
      <c r="A42" s="1463"/>
      <c r="B42" s="1463"/>
      <c r="C42" s="1463"/>
      <c r="D42" s="1463"/>
      <c r="E42" s="1463"/>
      <c r="F42" s="1463"/>
      <c r="G42" s="1463"/>
      <c r="H42" s="1463"/>
      <c r="I42" s="1463"/>
    </row>
    <row r="43" spans="1:9" ht="12.75" customHeight="1" x14ac:dyDescent="0.25">
      <c r="A43" s="758" t="s">
        <v>68</v>
      </c>
      <c r="B43" s="1468" t="s">
        <v>224</v>
      </c>
      <c r="C43" s="1468"/>
      <c r="D43" s="1468"/>
      <c r="E43" s="1468"/>
      <c r="F43" s="1468"/>
      <c r="G43" s="1468"/>
      <c r="H43" s="1468"/>
      <c r="I43" s="1468"/>
    </row>
    <row r="44" spans="1:9" ht="6.75" customHeight="1" x14ac:dyDescent="0.25">
      <c r="A44" s="1465"/>
      <c r="B44" s="1465"/>
      <c r="C44" s="1465"/>
      <c r="D44" s="1465"/>
      <c r="E44" s="1465"/>
      <c r="F44" s="1465"/>
      <c r="G44" s="1465"/>
      <c r="H44" s="1465"/>
    </row>
    <row r="45" spans="1:9" ht="12.75" customHeight="1" x14ac:dyDescent="0.25">
      <c r="A45" s="1457" t="s">
        <v>225</v>
      </c>
      <c r="B45" s="1457"/>
      <c r="C45" s="1457"/>
      <c r="D45" s="1456" t="s">
        <v>230</v>
      </c>
      <c r="E45" s="1456"/>
      <c r="F45" s="1456"/>
      <c r="G45" s="1456"/>
      <c r="H45" s="1456"/>
      <c r="I45" s="1456"/>
    </row>
    <row r="46" spans="1:9" ht="3" customHeight="1" x14ac:dyDescent="0.25">
      <c r="A46" s="751"/>
      <c r="B46" s="751"/>
      <c r="C46" s="751"/>
      <c r="D46" s="751"/>
      <c r="E46" s="751"/>
      <c r="F46" s="751"/>
      <c r="G46" s="751"/>
      <c r="H46" s="751"/>
    </row>
    <row r="47" spans="1:9" ht="12.75" customHeight="1" x14ac:dyDescent="0.25">
      <c r="A47" s="1457" t="s">
        <v>226</v>
      </c>
      <c r="B47" s="1457"/>
      <c r="C47" s="1457"/>
      <c r="D47" s="1456" t="s">
        <v>230</v>
      </c>
      <c r="E47" s="1456"/>
      <c r="F47" s="1456"/>
      <c r="G47" s="1456"/>
      <c r="H47" s="1456"/>
      <c r="I47" s="1456"/>
    </row>
    <row r="48" spans="1:9" ht="3" customHeight="1" x14ac:dyDescent="0.25">
      <c r="A48" s="751"/>
      <c r="B48" s="751"/>
      <c r="C48" s="751"/>
      <c r="D48" s="751"/>
      <c r="E48" s="751"/>
      <c r="F48" s="751"/>
      <c r="G48" s="751"/>
      <c r="H48" s="751"/>
    </row>
    <row r="49" spans="1:9" ht="12.75" customHeight="1" x14ac:dyDescent="0.25">
      <c r="A49" s="1233" t="s">
        <v>3844</v>
      </c>
      <c r="B49" s="751"/>
      <c r="C49" s="751"/>
      <c r="D49" s="1456" t="s">
        <v>230</v>
      </c>
      <c r="E49" s="1456"/>
      <c r="F49" s="1456"/>
      <c r="G49" s="1456"/>
      <c r="H49" s="1456"/>
      <c r="I49" s="1456"/>
    </row>
    <row r="50" spans="1:9" ht="3" customHeight="1" x14ac:dyDescent="0.25">
      <c r="A50" s="751"/>
      <c r="B50" s="751"/>
      <c r="C50" s="751"/>
      <c r="D50" s="751"/>
      <c r="E50" s="751"/>
      <c r="F50" s="751"/>
      <c r="G50" s="751"/>
      <c r="H50" s="751"/>
    </row>
    <row r="51" spans="1:9" ht="12.75" customHeight="1" x14ac:dyDescent="0.25">
      <c r="A51" s="1457" t="s">
        <v>227</v>
      </c>
      <c r="B51" s="1457"/>
      <c r="C51" s="1457"/>
      <c r="D51" s="1456" t="s">
        <v>230</v>
      </c>
      <c r="E51" s="1456"/>
      <c r="F51" s="1456"/>
      <c r="G51" s="1456"/>
      <c r="H51" s="1456"/>
      <c r="I51" s="1456"/>
    </row>
    <row r="52" spans="1:9" ht="3" customHeight="1" x14ac:dyDescent="0.25">
      <c r="A52" s="751"/>
      <c r="B52" s="751"/>
      <c r="C52" s="751"/>
      <c r="D52" s="751"/>
      <c r="E52" s="751"/>
      <c r="F52" s="751"/>
      <c r="G52" s="751"/>
      <c r="H52" s="751"/>
    </row>
    <row r="53" spans="1:9" ht="12.75" customHeight="1" x14ac:dyDescent="0.25">
      <c r="A53" s="1457" t="s">
        <v>228</v>
      </c>
      <c r="B53" s="1457"/>
      <c r="C53" s="1457"/>
      <c r="D53" s="1456" t="s">
        <v>230</v>
      </c>
      <c r="E53" s="1456"/>
      <c r="F53" s="1456"/>
      <c r="G53" s="1456"/>
      <c r="H53" s="1456"/>
      <c r="I53" s="1456"/>
    </row>
    <row r="54" spans="1:9" ht="3" customHeight="1" x14ac:dyDescent="0.25">
      <c r="A54" s="751"/>
      <c r="B54" s="751"/>
      <c r="C54" s="751"/>
      <c r="D54" s="751"/>
      <c r="E54" s="751"/>
      <c r="F54" s="751"/>
      <c r="G54" s="751"/>
      <c r="H54" s="751"/>
    </row>
    <row r="55" spans="1:9" ht="12.75" customHeight="1" x14ac:dyDescent="0.25">
      <c r="A55" s="1457" t="s">
        <v>229</v>
      </c>
      <c r="B55" s="1457"/>
      <c r="C55" s="1457"/>
      <c r="D55" s="1456" t="s">
        <v>230</v>
      </c>
      <c r="E55" s="1456"/>
      <c r="F55" s="1456"/>
      <c r="G55" s="1456"/>
      <c r="H55" s="1456"/>
      <c r="I55" s="1456"/>
    </row>
    <row r="56" spans="1:9" ht="12.75" customHeight="1" x14ac:dyDescent="0.25">
      <c r="A56" s="794"/>
      <c r="B56" s="792"/>
      <c r="C56" s="792"/>
      <c r="D56" s="792"/>
      <c r="E56" s="792"/>
      <c r="F56" s="792"/>
      <c r="G56" s="792"/>
      <c r="H56" s="792"/>
      <c r="I56" s="792"/>
    </row>
    <row r="57" spans="1:9" ht="12.75" customHeight="1" x14ac:dyDescent="0.25">
      <c r="A57" s="758" t="s">
        <v>69</v>
      </c>
      <c r="B57" s="1468" t="s">
        <v>231</v>
      </c>
      <c r="C57" s="1468"/>
      <c r="D57" s="1468"/>
      <c r="E57" s="1468"/>
      <c r="F57" s="1468"/>
      <c r="G57" s="1468"/>
      <c r="H57" s="1468"/>
      <c r="I57" s="1468"/>
    </row>
    <row r="58" spans="1:9" ht="6" customHeight="1" x14ac:dyDescent="0.25">
      <c r="A58" s="1465"/>
      <c r="B58" s="1465"/>
      <c r="C58" s="1465"/>
      <c r="D58" s="1465"/>
      <c r="E58" s="1465"/>
      <c r="F58" s="1465"/>
      <c r="G58" s="1465"/>
      <c r="H58" s="1465"/>
    </row>
    <row r="59" spans="1:9" s="760" customFormat="1" ht="16.5" customHeight="1" x14ac:dyDescent="0.25">
      <c r="A59" s="759" t="str">
        <f>CONCATENATE("Anschluss per ",TEXT(Input!E15,"T. MMMM JJJJ"))</f>
        <v>Anschluss per 1. Januar 2024</v>
      </c>
      <c r="B59" s="754"/>
      <c r="C59" s="754"/>
      <c r="D59" s="754"/>
      <c r="E59" s="759" t="s">
        <v>1646</v>
      </c>
      <c r="F59" s="759"/>
      <c r="G59" s="759"/>
      <c r="H59" s="1407" t="s">
        <v>57</v>
      </c>
      <c r="I59" s="1407"/>
    </row>
    <row r="60" spans="1:9" ht="12" customHeight="1" x14ac:dyDescent="0.25">
      <c r="A60" s="751"/>
      <c r="B60" s="751"/>
      <c r="C60" s="751"/>
      <c r="D60" s="751"/>
      <c r="E60" s="751"/>
      <c r="F60" s="751"/>
      <c r="G60" s="751"/>
      <c r="H60" s="751"/>
    </row>
    <row r="61" spans="1:9" s="760" customFormat="1" ht="12.75" customHeight="1" x14ac:dyDescent="0.25">
      <c r="A61" s="754" t="s">
        <v>232</v>
      </c>
      <c r="B61" s="761"/>
      <c r="C61" s="754"/>
      <c r="D61" s="754"/>
      <c r="E61" s="754"/>
      <c r="F61" s="761"/>
      <c r="G61" s="761"/>
      <c r="H61" s="761"/>
      <c r="I61" s="761"/>
    </row>
    <row r="62" spans="1:9" ht="12" customHeight="1" x14ac:dyDescent="0.25">
      <c r="A62" s="751"/>
      <c r="B62" s="751"/>
      <c r="C62" s="751"/>
      <c r="D62" s="751"/>
      <c r="E62" s="751"/>
      <c r="F62" s="751"/>
      <c r="G62" s="751"/>
      <c r="H62" s="751"/>
    </row>
    <row r="63" spans="1:9" s="760" customFormat="1" ht="12.75" customHeight="1" x14ac:dyDescent="0.25">
      <c r="A63" s="759" t="s">
        <v>233</v>
      </c>
      <c r="B63" s="761"/>
      <c r="C63" s="754"/>
      <c r="D63" s="754"/>
      <c r="E63" s="754"/>
      <c r="F63" s="761"/>
      <c r="G63" s="761"/>
      <c r="H63" s="761"/>
      <c r="I63" s="761"/>
    </row>
    <row r="64" spans="1:9" ht="39" customHeight="1" x14ac:dyDescent="0.25">
      <c r="A64" s="1462" t="s">
        <v>234</v>
      </c>
      <c r="B64" s="1463"/>
      <c r="C64" s="1463"/>
      <c r="D64" s="1463"/>
      <c r="E64" s="1463"/>
      <c r="F64" s="1463"/>
      <c r="G64" s="1463"/>
      <c r="H64" s="1463"/>
      <c r="I64" s="1463"/>
    </row>
    <row r="65" spans="1:9" ht="3" customHeight="1" x14ac:dyDescent="0.25">
      <c r="A65" s="751"/>
      <c r="B65" s="751"/>
      <c r="C65" s="751"/>
      <c r="D65" s="751"/>
      <c r="E65" s="751"/>
      <c r="F65" s="751"/>
      <c r="G65" s="751"/>
      <c r="H65" s="751"/>
    </row>
    <row r="66" spans="1:9" ht="15" customHeight="1" x14ac:dyDescent="0.25">
      <c r="A66" s="1473" t="s">
        <v>235</v>
      </c>
      <c r="B66" s="1473"/>
      <c r="C66" s="1473"/>
      <c r="D66" s="796" t="s">
        <v>236</v>
      </c>
      <c r="E66" s="1472" t="s">
        <v>237</v>
      </c>
      <c r="F66" s="1472"/>
      <c r="G66" s="1472"/>
      <c r="H66" s="1472" t="s">
        <v>238</v>
      </c>
      <c r="I66" s="1472"/>
    </row>
    <row r="67" spans="1:9" ht="15" customHeight="1" x14ac:dyDescent="0.25">
      <c r="A67" s="1459"/>
      <c r="B67" s="1459"/>
      <c r="C67" s="1459"/>
      <c r="D67" s="799"/>
      <c r="E67" s="1454"/>
      <c r="F67" s="1454"/>
      <c r="G67" s="1454"/>
      <c r="H67" s="1458"/>
      <c r="I67" s="1458"/>
    </row>
    <row r="68" spans="1:9" ht="15" customHeight="1" x14ac:dyDescent="0.25">
      <c r="A68" s="1459"/>
      <c r="B68" s="1459"/>
      <c r="C68" s="1459"/>
      <c r="D68" s="799"/>
      <c r="E68" s="1454"/>
      <c r="F68" s="1454"/>
      <c r="G68" s="1454"/>
      <c r="H68" s="1458"/>
      <c r="I68" s="1458"/>
    </row>
    <row r="69" spans="1:9" ht="15" customHeight="1" x14ac:dyDescent="0.25">
      <c r="A69" s="1459"/>
      <c r="B69" s="1459"/>
      <c r="C69" s="1459"/>
      <c r="D69" s="799"/>
      <c r="E69" s="1454"/>
      <c r="F69" s="1454"/>
      <c r="G69" s="1454"/>
      <c r="H69" s="1458"/>
      <c r="I69" s="1458"/>
    </row>
    <row r="70" spans="1:9" ht="15" customHeight="1" x14ac:dyDescent="0.25">
      <c r="A70" s="1459"/>
      <c r="B70" s="1459"/>
      <c r="C70" s="1459"/>
      <c r="D70" s="799"/>
      <c r="E70" s="1454"/>
      <c r="F70" s="1454"/>
      <c r="G70" s="1454"/>
      <c r="H70" s="1458"/>
      <c r="I70" s="1458"/>
    </row>
    <row r="71" spans="1:9" ht="15" customHeight="1" x14ac:dyDescent="0.25">
      <c r="A71" s="1459"/>
      <c r="B71" s="1459"/>
      <c r="C71" s="1459"/>
      <c r="D71" s="800"/>
      <c r="E71" s="1454"/>
      <c r="F71" s="1454"/>
      <c r="G71" s="1454"/>
      <c r="H71" s="1458"/>
      <c r="I71" s="1458"/>
    </row>
    <row r="72" spans="1:9" ht="9.75" customHeight="1" x14ac:dyDescent="0.25">
      <c r="A72" s="751"/>
      <c r="B72" s="751"/>
      <c r="C72" s="751"/>
      <c r="D72" s="751"/>
      <c r="E72" s="751"/>
      <c r="F72" s="751"/>
      <c r="G72" s="751"/>
      <c r="H72" s="751"/>
    </row>
    <row r="73" spans="1:9" s="760" customFormat="1" ht="12.75" customHeight="1" x14ac:dyDescent="0.25">
      <c r="A73" s="759" t="s">
        <v>239</v>
      </c>
      <c r="B73" s="761"/>
      <c r="C73" s="754"/>
      <c r="D73" s="754"/>
      <c r="E73" s="754"/>
      <c r="F73" s="761"/>
      <c r="G73" s="761"/>
      <c r="H73" s="761"/>
      <c r="I73" s="761"/>
    </row>
    <row r="74" spans="1:9" ht="3" customHeight="1" x14ac:dyDescent="0.25">
      <c r="A74" s="751"/>
      <c r="B74" s="751"/>
      <c r="C74" s="751"/>
      <c r="D74" s="751"/>
      <c r="E74" s="751"/>
      <c r="F74" s="751"/>
      <c r="G74" s="751"/>
      <c r="H74" s="751"/>
    </row>
    <row r="75" spans="1:9" ht="12.75" customHeight="1" x14ac:dyDescent="0.25">
      <c r="A75" s="1457" t="s">
        <v>991</v>
      </c>
      <c r="B75" s="1457"/>
      <c r="C75" s="1457"/>
      <c r="D75" s="1461" t="s">
        <v>230</v>
      </c>
      <c r="E75" s="1456"/>
      <c r="F75" s="1456"/>
      <c r="G75" s="1456"/>
      <c r="H75" s="1456"/>
      <c r="I75" s="1456"/>
    </row>
    <row r="76" spans="1:9" ht="3" customHeight="1" x14ac:dyDescent="0.25">
      <c r="A76" s="751"/>
      <c r="B76" s="751"/>
      <c r="C76" s="751"/>
      <c r="D76" s="751"/>
      <c r="E76" s="751"/>
      <c r="F76" s="751"/>
      <c r="G76" s="751"/>
      <c r="H76" s="751"/>
    </row>
    <row r="77" spans="1:9" ht="12.75" customHeight="1" x14ac:dyDescent="0.25">
      <c r="A77" s="1457" t="s">
        <v>226</v>
      </c>
      <c r="B77" s="1457"/>
      <c r="C77" s="1457"/>
      <c r="D77" s="1456" t="s">
        <v>230</v>
      </c>
      <c r="E77" s="1456"/>
      <c r="F77" s="1456"/>
      <c r="G77" s="1456"/>
      <c r="H77" s="1456"/>
      <c r="I77" s="1456"/>
    </row>
    <row r="78" spans="1:9" ht="3" customHeight="1" x14ac:dyDescent="0.25">
      <c r="A78" s="751"/>
      <c r="B78" s="751"/>
      <c r="C78" s="751"/>
      <c r="D78" s="751"/>
      <c r="E78" s="751"/>
      <c r="F78" s="751"/>
      <c r="G78" s="751"/>
      <c r="H78" s="751"/>
    </row>
    <row r="79" spans="1:9" ht="12.75" customHeight="1" x14ac:dyDescent="0.25">
      <c r="A79" s="1457" t="s">
        <v>240</v>
      </c>
      <c r="B79" s="1457"/>
      <c r="C79" s="1457"/>
      <c r="D79" s="1456" t="s">
        <v>230</v>
      </c>
      <c r="E79" s="1456"/>
      <c r="F79" s="1456"/>
      <c r="G79" s="1456"/>
      <c r="H79" s="1456"/>
      <c r="I79" s="1456"/>
    </row>
    <row r="80" spans="1:9" ht="9.75" customHeight="1" x14ac:dyDescent="0.25">
      <c r="A80" s="794"/>
      <c r="B80" s="792"/>
      <c r="C80" s="792"/>
      <c r="D80" s="792"/>
      <c r="E80" s="792"/>
      <c r="F80" s="792"/>
      <c r="G80" s="792"/>
      <c r="H80" s="792"/>
      <c r="I80" s="792"/>
    </row>
    <row r="81" spans="1:15" s="760" customFormat="1" ht="12.75" customHeight="1" x14ac:dyDescent="0.25">
      <c r="A81" s="759" t="s">
        <v>1647</v>
      </c>
      <c r="B81" s="761"/>
      <c r="C81" s="992"/>
      <c r="D81" s="824" t="s">
        <v>3845</v>
      </c>
      <c r="E81" s="754"/>
      <c r="F81" s="761"/>
      <c r="G81" s="761"/>
      <c r="H81" s="761"/>
      <c r="I81" s="761"/>
    </row>
    <row r="82" spans="1:15" ht="3" customHeight="1" x14ac:dyDescent="0.25">
      <c r="A82" s="751"/>
      <c r="B82" s="751"/>
      <c r="C82" s="751"/>
      <c r="D82" s="993"/>
      <c r="E82" s="751"/>
      <c r="F82" s="751"/>
      <c r="G82" s="751"/>
      <c r="H82" s="751"/>
    </row>
    <row r="83" spans="1:15" ht="12.75" customHeight="1" x14ac:dyDescent="0.25">
      <c r="A83" s="1460"/>
      <c r="B83" s="1460"/>
      <c r="C83" s="1460"/>
      <c r="D83" s="824" t="s">
        <v>3850</v>
      </c>
      <c r="E83" s="753"/>
      <c r="F83" s="753"/>
      <c r="G83" s="753"/>
      <c r="H83" s="1461" t="s">
        <v>57</v>
      </c>
      <c r="I83" s="1456"/>
      <c r="J83" s="1456"/>
      <c r="K83" s="1456"/>
      <c r="L83" s="1456"/>
      <c r="M83" s="1456"/>
      <c r="N83" s="797"/>
      <c r="O83" s="797"/>
    </row>
    <row r="84" spans="1:15" ht="12.75" customHeight="1" x14ac:dyDescent="0.25">
      <c r="A84" s="1460"/>
      <c r="B84" s="1460"/>
      <c r="C84" s="1460"/>
      <c r="D84" s="824" t="s">
        <v>3846</v>
      </c>
      <c r="E84" s="753"/>
      <c r="F84" s="753"/>
      <c r="G84" s="753"/>
      <c r="H84" s="753"/>
      <c r="I84" s="753"/>
      <c r="J84" s="797"/>
      <c r="K84" s="797"/>
      <c r="L84" s="797"/>
      <c r="M84" s="797"/>
      <c r="N84" s="797"/>
      <c r="O84" s="797"/>
    </row>
    <row r="85" spans="1:15" ht="12.75" customHeight="1" x14ac:dyDescent="0.25">
      <c r="A85" s="1460"/>
      <c r="B85" s="1460"/>
      <c r="C85" s="1460"/>
      <c r="D85" s="1333" t="s">
        <v>3847</v>
      </c>
      <c r="E85" s="753"/>
      <c r="F85" s="753"/>
      <c r="G85" s="753"/>
      <c r="H85" s="753"/>
      <c r="I85" s="753"/>
      <c r="J85" s="797"/>
      <c r="K85" s="797"/>
      <c r="L85" s="797"/>
      <c r="M85" s="797"/>
      <c r="N85" s="797"/>
      <c r="O85" s="797"/>
    </row>
    <row r="86" spans="1:15" ht="12.75" customHeight="1" x14ac:dyDescent="0.25">
      <c r="A86" s="1460"/>
      <c r="B86" s="1460"/>
      <c r="C86" s="1460"/>
      <c r="D86" s="824" t="s">
        <v>3848</v>
      </c>
      <c r="E86" s="753"/>
      <c r="F86" s="753"/>
      <c r="G86" s="753"/>
      <c r="H86" s="753"/>
      <c r="I86" s="753"/>
      <c r="J86" s="797"/>
      <c r="K86" s="797"/>
      <c r="L86" s="797"/>
      <c r="M86" s="797"/>
      <c r="N86" s="797"/>
      <c r="O86" s="797"/>
    </row>
    <row r="87" spans="1:15" ht="16.5" customHeight="1" x14ac:dyDescent="0.25">
      <c r="A87" s="1331"/>
      <c r="B87" s="1331"/>
      <c r="C87" s="1331"/>
      <c r="D87" s="1461" t="s">
        <v>3849</v>
      </c>
      <c r="E87" s="1456"/>
      <c r="F87" s="1456"/>
      <c r="G87" s="1456"/>
      <c r="H87" s="1456"/>
      <c r="I87" s="1456"/>
      <c r="J87" s="797"/>
      <c r="K87" s="797"/>
      <c r="L87" s="797"/>
      <c r="M87" s="797"/>
      <c r="N87" s="797"/>
      <c r="O87" s="797"/>
    </row>
    <row r="88" spans="1:15" ht="15" customHeight="1" x14ac:dyDescent="0.25">
      <c r="A88" s="751"/>
      <c r="B88" s="751"/>
      <c r="C88" s="751"/>
      <c r="D88" s="751"/>
      <c r="E88" s="751"/>
      <c r="F88" s="751"/>
      <c r="G88" s="751"/>
      <c r="H88" s="751"/>
    </row>
    <row r="89" spans="1:15" ht="12.75" customHeight="1" x14ac:dyDescent="0.25">
      <c r="A89" s="758" t="s">
        <v>70</v>
      </c>
      <c r="B89" s="1468" t="s">
        <v>1302</v>
      </c>
      <c r="C89" s="1468"/>
      <c r="D89" s="1468"/>
      <c r="E89" s="1468"/>
      <c r="F89" s="1468"/>
      <c r="G89" s="1468"/>
      <c r="H89" s="1468"/>
      <c r="I89" s="1468"/>
    </row>
    <row r="90" spans="1:15" ht="6.75" customHeight="1" x14ac:dyDescent="0.25">
      <c r="A90" s="1465"/>
      <c r="B90" s="1477"/>
      <c r="C90" s="1477"/>
      <c r="D90" s="1477"/>
      <c r="E90" s="1477"/>
      <c r="F90" s="1477"/>
      <c r="G90" s="1477"/>
      <c r="H90" s="1477"/>
    </row>
    <row r="91" spans="1:15" s="798" customFormat="1" ht="23.25" customHeight="1" x14ac:dyDescent="0.25">
      <c r="A91" s="1455" t="s">
        <v>241</v>
      </c>
      <c r="B91" s="1455"/>
      <c r="C91" s="1455"/>
      <c r="D91" s="1455"/>
      <c r="E91" s="1455"/>
      <c r="F91" s="1455"/>
      <c r="G91" s="1455"/>
      <c r="H91" s="1455"/>
      <c r="I91" s="1455"/>
    </row>
    <row r="92" spans="1:15" ht="3" customHeight="1" x14ac:dyDescent="0.25">
      <c r="A92" s="751"/>
      <c r="B92" s="751"/>
      <c r="C92" s="751"/>
      <c r="D92" s="751"/>
      <c r="E92" s="751"/>
      <c r="F92" s="751"/>
      <c r="G92" s="751"/>
      <c r="H92" s="751"/>
    </row>
    <row r="93" spans="1:15" ht="15" customHeight="1" x14ac:dyDescent="0.25">
      <c r="A93" s="1457" t="s">
        <v>242</v>
      </c>
      <c r="B93" s="1457"/>
      <c r="C93" s="1457"/>
      <c r="D93" s="1456" t="s">
        <v>230</v>
      </c>
      <c r="E93" s="1456"/>
      <c r="F93" s="1456"/>
      <c r="G93" s="1456"/>
      <c r="H93" s="1456"/>
      <c r="I93" s="1456"/>
    </row>
    <row r="94" spans="1:15" ht="3" customHeight="1" x14ac:dyDescent="0.25">
      <c r="A94" s="751"/>
      <c r="B94" s="751"/>
      <c r="C94" s="751"/>
      <c r="D94" s="751"/>
      <c r="E94" s="751"/>
      <c r="F94" s="751"/>
      <c r="G94" s="751"/>
      <c r="H94" s="751"/>
    </row>
    <row r="95" spans="1:15" ht="15" customHeight="1" x14ac:dyDescent="0.25">
      <c r="A95" s="1457" t="s">
        <v>243</v>
      </c>
      <c r="B95" s="1457"/>
      <c r="C95" s="1457"/>
      <c r="D95" s="1456" t="s">
        <v>230</v>
      </c>
      <c r="E95" s="1456"/>
      <c r="F95" s="1456"/>
      <c r="G95" s="1456"/>
      <c r="H95" s="1456"/>
      <c r="I95" s="1456"/>
    </row>
    <row r="96" spans="1:15" ht="3" customHeight="1" x14ac:dyDescent="0.25">
      <c r="A96" s="751"/>
      <c r="B96" s="751"/>
      <c r="C96" s="751"/>
      <c r="D96" s="751"/>
      <c r="E96" s="751"/>
      <c r="F96" s="751"/>
      <c r="G96" s="751"/>
      <c r="H96" s="751"/>
    </row>
    <row r="97" spans="1:9" ht="12.75" customHeight="1" x14ac:dyDescent="0.25">
      <c r="A97" s="1471" t="s">
        <v>244</v>
      </c>
      <c r="B97" s="1471"/>
      <c r="C97" s="1471"/>
      <c r="D97" s="1471"/>
      <c r="E97" s="1471"/>
      <c r="F97" s="1471"/>
      <c r="G97" s="1471"/>
      <c r="H97" s="1471"/>
      <c r="I97" s="1471"/>
    </row>
    <row r="98" spans="1:9" ht="8.25" customHeight="1" x14ac:dyDescent="0.25">
      <c r="A98" s="1457"/>
      <c r="B98" s="1457"/>
      <c r="C98" s="1457"/>
      <c r="D98" s="1470"/>
      <c r="E98" s="1470"/>
      <c r="F98" s="1470"/>
      <c r="G98" s="1470"/>
      <c r="H98" s="1470"/>
      <c r="I98" s="1470"/>
    </row>
    <row r="99" spans="1:9" ht="12.75" customHeight="1" x14ac:dyDescent="0.25">
      <c r="A99" s="1269" t="s">
        <v>3748</v>
      </c>
      <c r="B99" s="1265"/>
      <c r="C99" s="1265"/>
      <c r="D99" s="1271">
        <f>IF(Input!E47="",50%,1-Input!$E$47)</f>
        <v>0.5</v>
      </c>
      <c r="E99" s="1475" t="s">
        <v>3749</v>
      </c>
      <c r="F99" s="1475"/>
      <c r="G99" s="1475"/>
      <c r="H99" s="1475"/>
      <c r="I99" s="1475"/>
    </row>
    <row r="100" spans="1:9" ht="8.25" customHeight="1" x14ac:dyDescent="0.25">
      <c r="A100" s="1265"/>
      <c r="B100" s="1265"/>
      <c r="C100" s="1265"/>
      <c r="D100" s="1266"/>
      <c r="E100" s="1266"/>
      <c r="F100" s="1266"/>
      <c r="G100" s="1266"/>
      <c r="H100" s="1266"/>
      <c r="I100" s="1266"/>
    </row>
    <row r="101" spans="1:9" x14ac:dyDescent="0.25">
      <c r="A101" s="751" t="s">
        <v>1376</v>
      </c>
      <c r="B101" s="751"/>
      <c r="C101" s="756" t="str">
        <f>VLOOKUP(Input!K5,Input!L5:M8,2)</f>
        <v>SE: Eintritt vor 50</v>
      </c>
      <c r="D101" s="751"/>
      <c r="E101" s="751"/>
      <c r="F101" s="751"/>
      <c r="G101" s="751"/>
      <c r="H101" s="751"/>
    </row>
    <row r="102" spans="1:9" x14ac:dyDescent="0.25">
      <c r="A102" s="751" t="s">
        <v>1501</v>
      </c>
      <c r="B102" s="751"/>
      <c r="C102" s="764" t="str">
        <f>'Ausweis-Certificat'!F9</f>
        <v>22011001</v>
      </c>
      <c r="D102" s="751"/>
      <c r="E102" s="751"/>
      <c r="F102" s="751"/>
      <c r="G102" s="751"/>
      <c r="H102" s="751"/>
    </row>
    <row r="103" spans="1:9" x14ac:dyDescent="0.25">
      <c r="A103" s="751" t="s">
        <v>1793</v>
      </c>
      <c r="B103" s="751"/>
      <c r="C103" s="763">
        <f>'Ausweis-Certificat'!E9</f>
        <v>423</v>
      </c>
      <c r="D103" s="751"/>
      <c r="E103" s="751"/>
      <c r="F103" s="751"/>
      <c r="G103" s="751"/>
      <c r="H103" s="751"/>
    </row>
    <row r="104" spans="1:9" x14ac:dyDescent="0.25">
      <c r="A104" s="751" t="s">
        <v>1656</v>
      </c>
      <c r="B104" s="751"/>
      <c r="C104" s="764">
        <f>Wertebereich!T29</f>
        <v>25</v>
      </c>
      <c r="D104" s="751"/>
      <c r="E104" s="751"/>
      <c r="F104" s="751"/>
      <c r="G104" s="751"/>
      <c r="H104" s="751"/>
    </row>
    <row r="105" spans="1:9" x14ac:dyDescent="0.25">
      <c r="A105" s="751" t="str">
        <f>IF('Ausweis-Certificat'!H9="","","IV-Rente")</f>
        <v>IV-Rente</v>
      </c>
      <c r="B105" s="751"/>
      <c r="C105" s="764" t="str">
        <f>IF('Ausweis-Certificat'!H9="","",CONCATENATE('Ausweis-Certificat'!H9,"%"))</f>
        <v>40%</v>
      </c>
      <c r="D105" s="751"/>
      <c r="E105" s="751"/>
      <c r="F105" s="751"/>
      <c r="G105" s="751"/>
      <c r="H105" s="751"/>
    </row>
    <row r="106" spans="1:9" x14ac:dyDescent="0.25">
      <c r="A106" s="751" t="str">
        <f>IF('Ausweis-Certificat'!I9="","","Todesfallkapital")</f>
        <v/>
      </c>
      <c r="B106" s="751"/>
      <c r="C106" s="764" t="str">
        <f>IF('Ausweis-Certificat'!I9="","",IF('Ausweis-Certificat'!I9="AGH","AGH",CONCATENATE('Ausweis-Certificat'!I9,"%")))</f>
        <v/>
      </c>
      <c r="D106" s="751"/>
      <c r="E106" s="751"/>
      <c r="F106" s="751"/>
      <c r="G106" s="751"/>
      <c r="H106" s="751"/>
    </row>
    <row r="107" spans="1:9" x14ac:dyDescent="0.25">
      <c r="A107" s="751" t="s">
        <v>1794</v>
      </c>
      <c r="B107" s="751"/>
      <c r="C107" s="764" t="str">
        <f>'Ausweis-Certificat'!J9</f>
        <v>102_</v>
      </c>
      <c r="D107" s="751"/>
      <c r="E107" s="751"/>
      <c r="F107" s="751"/>
      <c r="G107" s="751"/>
      <c r="H107" s="751"/>
      <c r="I107" s="795" t="s">
        <v>74</v>
      </c>
    </row>
    <row r="108" spans="1:9" ht="12.75" customHeight="1" x14ac:dyDescent="0.25">
      <c r="A108" s="751"/>
      <c r="B108" s="751"/>
      <c r="C108" s="751"/>
      <c r="D108" s="751"/>
      <c r="E108" s="751"/>
      <c r="F108" s="751"/>
      <c r="G108" s="751"/>
      <c r="H108" s="751"/>
      <c r="I108" s="795"/>
    </row>
    <row r="109" spans="1:9" ht="27.75" customHeight="1" x14ac:dyDescent="0.25">
      <c r="A109" s="751"/>
      <c r="B109" s="751"/>
      <c r="C109" s="751"/>
      <c r="D109" s="751"/>
      <c r="E109" s="751"/>
      <c r="F109" s="751"/>
      <c r="G109" s="751"/>
      <c r="H109" s="751"/>
      <c r="I109" s="795"/>
    </row>
    <row r="110" spans="1:9" ht="12.75" customHeight="1" x14ac:dyDescent="0.25">
      <c r="A110" s="758" t="s">
        <v>245</v>
      </c>
      <c r="B110" s="1468" t="s">
        <v>628</v>
      </c>
      <c r="C110" s="1468"/>
      <c r="D110" s="1468"/>
      <c r="E110" s="1468"/>
      <c r="F110" s="1468"/>
      <c r="G110" s="1468"/>
      <c r="H110" s="1468"/>
      <c r="I110" s="1468"/>
    </row>
    <row r="111" spans="1:9" ht="6.75" customHeight="1" x14ac:dyDescent="0.25">
      <c r="A111" s="1465"/>
      <c r="B111" s="1477"/>
      <c r="C111" s="1477"/>
      <c r="D111" s="1477"/>
      <c r="E111" s="1477"/>
      <c r="F111" s="1477"/>
      <c r="G111" s="1477"/>
      <c r="H111" s="1477"/>
    </row>
    <row r="112" spans="1:9" ht="49.5" customHeight="1" x14ac:dyDescent="0.25">
      <c r="A112" s="1466" t="s">
        <v>2085</v>
      </c>
      <c r="B112" s="1467"/>
      <c r="C112" s="1467"/>
      <c r="D112" s="1467"/>
      <c r="E112" s="1467"/>
      <c r="F112" s="1467"/>
      <c r="G112" s="1467"/>
      <c r="H112" s="1467"/>
      <c r="I112" s="1467"/>
    </row>
    <row r="113" spans="1:9" ht="12.75" customHeight="1" x14ac:dyDescent="0.25">
      <c r="A113" s="762"/>
      <c r="B113" s="762"/>
      <c r="C113" s="762"/>
      <c r="D113" s="762"/>
      <c r="E113" s="762"/>
      <c r="F113" s="762"/>
      <c r="G113" s="762"/>
      <c r="H113" s="762"/>
      <c r="I113" s="762"/>
    </row>
    <row r="114" spans="1:9" x14ac:dyDescent="0.25">
      <c r="A114" s="751" t="s">
        <v>1648</v>
      </c>
      <c r="B114" s="751"/>
      <c r="C114" s="751"/>
      <c r="D114" s="751"/>
      <c r="E114" s="751"/>
      <c r="F114" s="751" t="s">
        <v>1649</v>
      </c>
      <c r="G114" s="751"/>
      <c r="H114" s="751"/>
    </row>
    <row r="115" spans="1:9" ht="39" customHeight="1" x14ac:dyDescent="0.25">
      <c r="A115" s="1416" t="s">
        <v>47</v>
      </c>
      <c r="B115" s="1416"/>
      <c r="C115" s="1416"/>
      <c r="D115" s="1416"/>
      <c r="E115" s="751"/>
      <c r="F115" s="1416" t="s">
        <v>32</v>
      </c>
      <c r="G115" s="1416"/>
      <c r="H115" s="1416"/>
      <c r="I115" s="1416"/>
    </row>
    <row r="116" spans="1:9" ht="3" customHeight="1" x14ac:dyDescent="0.25">
      <c r="A116" s="751"/>
      <c r="B116" s="751"/>
      <c r="C116" s="751"/>
      <c r="D116" s="751"/>
      <c r="E116" s="751"/>
      <c r="F116" s="751"/>
      <c r="G116" s="751"/>
      <c r="H116" s="751"/>
    </row>
    <row r="117" spans="1:9" x14ac:dyDescent="0.25">
      <c r="A117" s="751" t="s">
        <v>246</v>
      </c>
      <c r="B117" s="751"/>
      <c r="C117" s="751"/>
      <c r="D117" s="751"/>
      <c r="E117" s="751"/>
      <c r="F117" s="751" t="s">
        <v>247</v>
      </c>
      <c r="G117" s="751"/>
      <c r="H117" s="751"/>
    </row>
    <row r="118" spans="1:9" x14ac:dyDescent="0.25">
      <c r="A118" s="751" t="s">
        <v>235</v>
      </c>
      <c r="B118" s="751"/>
      <c r="C118" s="751"/>
      <c r="D118" s="751"/>
      <c r="E118" s="751"/>
      <c r="F118" s="751" t="s">
        <v>235</v>
      </c>
      <c r="G118" s="751"/>
      <c r="H118" s="751"/>
    </row>
    <row r="119" spans="1:9" ht="39" customHeight="1" x14ac:dyDescent="0.25">
      <c r="A119" s="1416" t="s">
        <v>47</v>
      </c>
      <c r="B119" s="1416"/>
      <c r="C119" s="1416"/>
      <c r="D119" s="1416"/>
      <c r="E119" s="751"/>
      <c r="F119" s="1416" t="s">
        <v>32</v>
      </c>
      <c r="G119" s="1416"/>
      <c r="H119" s="1416"/>
      <c r="I119" s="1416"/>
    </row>
    <row r="120" spans="1:9" ht="11.25" customHeight="1" x14ac:dyDescent="0.25">
      <c r="A120" s="751"/>
      <c r="B120" s="751"/>
      <c r="C120" s="751"/>
      <c r="D120" s="751"/>
      <c r="E120" s="751"/>
      <c r="F120" s="751"/>
      <c r="G120" s="751"/>
      <c r="H120" s="751"/>
    </row>
    <row r="121" spans="1:9" x14ac:dyDescent="0.25">
      <c r="A121" s="751" t="s">
        <v>84</v>
      </c>
      <c r="B121" s="751"/>
      <c r="C121" s="751"/>
      <c r="D121" s="751"/>
      <c r="E121" s="751"/>
      <c r="F121" s="751" t="s">
        <v>84</v>
      </c>
      <c r="G121" s="751"/>
      <c r="H121" s="751"/>
    </row>
    <row r="122" spans="1:9" ht="39" customHeight="1" x14ac:dyDescent="0.25">
      <c r="A122" s="1474" t="s">
        <v>47</v>
      </c>
      <c r="B122" s="1474"/>
      <c r="C122" s="1474"/>
      <c r="D122" s="1474"/>
      <c r="E122" s="751"/>
      <c r="F122" s="1474" t="s">
        <v>32</v>
      </c>
      <c r="G122" s="1474"/>
      <c r="H122" s="1474"/>
      <c r="I122" s="1474"/>
    </row>
    <row r="123" spans="1:9" s="766" customFormat="1" x14ac:dyDescent="0.25">
      <c r="A123" s="765"/>
      <c r="B123" s="765"/>
      <c r="C123" s="765"/>
      <c r="D123" s="765"/>
      <c r="E123" s="765"/>
      <c r="F123" s="765"/>
      <c r="G123" s="765"/>
      <c r="H123" s="765"/>
    </row>
    <row r="124" spans="1:9" x14ac:dyDescent="0.25">
      <c r="A124" s="751"/>
      <c r="B124" s="751"/>
      <c r="C124" s="751"/>
      <c r="D124" s="751"/>
      <c r="E124" s="751"/>
      <c r="F124" s="751"/>
      <c r="G124" s="751"/>
      <c r="H124" s="751"/>
    </row>
    <row r="125" spans="1:9" x14ac:dyDescent="0.25">
      <c r="A125" s="751"/>
      <c r="B125" s="751"/>
      <c r="C125" s="751"/>
      <c r="D125" s="751"/>
      <c r="E125" s="751"/>
      <c r="F125" s="751"/>
      <c r="G125" s="751"/>
      <c r="H125" s="751"/>
    </row>
    <row r="126" spans="1:9" x14ac:dyDescent="0.25">
      <c r="A126" s="751"/>
      <c r="B126" s="751"/>
      <c r="C126" s="751"/>
      <c r="D126" s="751"/>
      <c r="E126" s="751"/>
      <c r="F126" s="751"/>
      <c r="G126" s="751"/>
      <c r="H126" s="751"/>
    </row>
    <row r="127" spans="1:9" x14ac:dyDescent="0.25">
      <c r="A127" s="751"/>
      <c r="B127" s="751"/>
      <c r="C127" s="751"/>
      <c r="D127" s="751"/>
      <c r="E127" s="751"/>
      <c r="F127" s="751"/>
      <c r="G127" s="751"/>
      <c r="H127" s="751"/>
    </row>
    <row r="128" spans="1:9" x14ac:dyDescent="0.25">
      <c r="A128" s="751"/>
      <c r="B128" s="751"/>
      <c r="C128" s="751"/>
      <c r="D128" s="751"/>
      <c r="E128" s="751"/>
      <c r="F128" s="751"/>
      <c r="G128" s="751"/>
      <c r="H128" s="751"/>
    </row>
    <row r="129" spans="1:8" x14ac:dyDescent="0.25">
      <c r="A129" s="751"/>
      <c r="B129" s="751"/>
      <c r="C129" s="751"/>
      <c r="D129" s="751"/>
      <c r="E129" s="751"/>
      <c r="F129" s="751"/>
      <c r="G129" s="751"/>
      <c r="H129" s="751"/>
    </row>
    <row r="130" spans="1:8" x14ac:dyDescent="0.25">
      <c r="A130" s="751"/>
      <c r="B130" s="751"/>
      <c r="C130" s="751"/>
      <c r="D130" s="751"/>
      <c r="E130" s="751"/>
      <c r="F130" s="751"/>
      <c r="G130" s="751"/>
      <c r="H130" s="751"/>
    </row>
    <row r="131" spans="1:8" x14ac:dyDescent="0.25">
      <c r="A131" s="751"/>
      <c r="B131" s="751"/>
      <c r="C131" s="751"/>
      <c r="D131" s="751"/>
      <c r="E131" s="751"/>
      <c r="F131" s="751"/>
      <c r="G131" s="751"/>
      <c r="H131" s="751"/>
    </row>
    <row r="132" spans="1:8" x14ac:dyDescent="0.25">
      <c r="A132" s="751"/>
      <c r="B132" s="751"/>
      <c r="C132" s="751"/>
      <c r="D132" s="751"/>
      <c r="E132" s="751"/>
      <c r="F132" s="751"/>
      <c r="G132" s="751"/>
      <c r="H132" s="751"/>
    </row>
    <row r="133" spans="1:8" x14ac:dyDescent="0.25">
      <c r="A133" s="751"/>
      <c r="B133" s="751"/>
      <c r="C133" s="751"/>
      <c r="D133" s="751"/>
      <c r="E133" s="751"/>
      <c r="F133" s="751"/>
      <c r="G133" s="751"/>
      <c r="H133" s="751"/>
    </row>
    <row r="134" spans="1:8" x14ac:dyDescent="0.25">
      <c r="A134" s="751"/>
      <c r="B134" s="751"/>
      <c r="C134" s="751"/>
      <c r="D134" s="751"/>
      <c r="E134" s="751"/>
      <c r="F134" s="751"/>
      <c r="G134" s="751"/>
      <c r="H134" s="751"/>
    </row>
    <row r="135" spans="1:8" x14ac:dyDescent="0.25">
      <c r="A135" s="751"/>
      <c r="B135" s="751"/>
      <c r="C135" s="751"/>
      <c r="D135" s="751"/>
      <c r="E135" s="751"/>
      <c r="F135" s="751"/>
      <c r="G135" s="751"/>
      <c r="H135" s="751"/>
    </row>
    <row r="136" spans="1:8" x14ac:dyDescent="0.25">
      <c r="A136" s="751"/>
      <c r="B136" s="751"/>
      <c r="C136" s="751"/>
      <c r="D136" s="751"/>
      <c r="E136" s="751"/>
      <c r="F136" s="751"/>
      <c r="G136" s="751"/>
      <c r="H136" s="751"/>
    </row>
    <row r="137" spans="1:8" x14ac:dyDescent="0.25">
      <c r="A137" s="751"/>
      <c r="B137" s="751"/>
      <c r="C137" s="751"/>
      <c r="D137" s="751"/>
      <c r="E137" s="751"/>
      <c r="F137" s="751"/>
      <c r="G137" s="751"/>
      <c r="H137" s="751"/>
    </row>
    <row r="138" spans="1:8" x14ac:dyDescent="0.25">
      <c r="A138" s="751"/>
      <c r="B138" s="751"/>
      <c r="C138" s="751"/>
      <c r="D138" s="751"/>
      <c r="E138" s="751"/>
      <c r="F138" s="751"/>
      <c r="G138" s="751"/>
      <c r="H138" s="751"/>
    </row>
    <row r="139" spans="1:8" x14ac:dyDescent="0.25">
      <c r="A139" s="751"/>
      <c r="B139" s="751"/>
      <c r="C139" s="751"/>
      <c r="D139" s="751"/>
      <c r="E139" s="751"/>
      <c r="F139" s="751"/>
      <c r="G139" s="751"/>
      <c r="H139" s="751"/>
    </row>
    <row r="140" spans="1:8" x14ac:dyDescent="0.25">
      <c r="A140" s="751"/>
      <c r="B140" s="751"/>
      <c r="C140" s="751"/>
      <c r="D140" s="751"/>
      <c r="E140" s="751"/>
      <c r="F140" s="751"/>
      <c r="G140" s="751"/>
      <c r="H140" s="751"/>
    </row>
    <row r="141" spans="1:8" x14ac:dyDescent="0.25">
      <c r="A141" s="751"/>
      <c r="B141" s="751"/>
      <c r="C141" s="751"/>
      <c r="D141" s="751"/>
      <c r="E141" s="751"/>
      <c r="F141" s="751"/>
      <c r="G141" s="751"/>
      <c r="H141" s="751"/>
    </row>
    <row r="142" spans="1:8" x14ac:dyDescent="0.25">
      <c r="A142" s="751"/>
      <c r="B142" s="751"/>
      <c r="C142" s="751"/>
      <c r="D142" s="751"/>
      <c r="E142" s="751"/>
      <c r="F142" s="751"/>
      <c r="G142" s="751"/>
      <c r="H142" s="751"/>
    </row>
    <row r="143" spans="1:8" x14ac:dyDescent="0.25">
      <c r="A143" s="751"/>
      <c r="B143" s="751"/>
      <c r="C143" s="751"/>
      <c r="D143" s="751"/>
      <c r="E143" s="751"/>
      <c r="F143" s="751"/>
      <c r="G143" s="751"/>
      <c r="H143" s="751"/>
    </row>
    <row r="144" spans="1:8" x14ac:dyDescent="0.25">
      <c r="A144" s="751"/>
      <c r="B144" s="751"/>
      <c r="C144" s="751"/>
      <c r="D144" s="751"/>
      <c r="E144" s="751"/>
      <c r="F144" s="751"/>
      <c r="G144" s="751"/>
      <c r="H144" s="751"/>
    </row>
    <row r="145" spans="1:8" x14ac:dyDescent="0.25">
      <c r="A145" s="751"/>
      <c r="B145" s="751"/>
      <c r="C145" s="751"/>
      <c r="D145" s="751"/>
      <c r="E145" s="751"/>
      <c r="F145" s="751"/>
      <c r="G145" s="751"/>
      <c r="H145" s="751"/>
    </row>
    <row r="146" spans="1:8" x14ac:dyDescent="0.25">
      <c r="A146" s="751"/>
      <c r="B146" s="751"/>
      <c r="C146" s="751"/>
      <c r="D146" s="751"/>
      <c r="E146" s="751"/>
      <c r="F146" s="751"/>
      <c r="G146" s="751"/>
      <c r="H146" s="751"/>
    </row>
    <row r="147" spans="1:8" x14ac:dyDescent="0.25">
      <c r="A147" s="751"/>
      <c r="B147" s="751"/>
      <c r="C147" s="751"/>
      <c r="D147" s="751"/>
      <c r="E147" s="751"/>
      <c r="F147" s="751"/>
      <c r="G147" s="751"/>
      <c r="H147" s="751"/>
    </row>
    <row r="148" spans="1:8" x14ac:dyDescent="0.25">
      <c r="A148" s="751"/>
      <c r="B148" s="751"/>
      <c r="C148" s="751"/>
      <c r="D148" s="751"/>
      <c r="E148" s="751"/>
      <c r="F148" s="751"/>
      <c r="G148" s="751"/>
      <c r="H148" s="751"/>
    </row>
    <row r="149" spans="1:8" x14ac:dyDescent="0.25">
      <c r="A149" s="751"/>
      <c r="B149" s="751"/>
      <c r="C149" s="751"/>
      <c r="D149" s="751"/>
      <c r="E149" s="751"/>
      <c r="F149" s="751"/>
      <c r="G149" s="751"/>
      <c r="H149" s="751"/>
    </row>
    <row r="150" spans="1:8" x14ac:dyDescent="0.25">
      <c r="A150" s="751"/>
      <c r="B150" s="751"/>
      <c r="C150" s="751"/>
      <c r="D150" s="751"/>
      <c r="E150" s="751"/>
      <c r="F150" s="751"/>
      <c r="G150" s="751"/>
      <c r="H150" s="751"/>
    </row>
    <row r="151" spans="1:8" x14ac:dyDescent="0.25">
      <c r="A151" s="751"/>
      <c r="B151" s="751"/>
      <c r="C151" s="751"/>
      <c r="D151" s="751"/>
      <c r="E151" s="751"/>
      <c r="F151" s="751"/>
      <c r="G151" s="751"/>
      <c r="H151" s="751"/>
    </row>
    <row r="152" spans="1:8" x14ac:dyDescent="0.25">
      <c r="A152" s="751"/>
      <c r="B152" s="751"/>
      <c r="C152" s="751"/>
      <c r="D152" s="751"/>
      <c r="E152" s="751"/>
      <c r="F152" s="751"/>
      <c r="G152" s="751"/>
      <c r="H152" s="751"/>
    </row>
    <row r="153" spans="1:8" x14ac:dyDescent="0.25">
      <c r="A153" s="751"/>
      <c r="B153" s="751"/>
      <c r="C153" s="751"/>
      <c r="D153" s="751"/>
      <c r="E153" s="751"/>
      <c r="F153" s="751"/>
      <c r="G153" s="751"/>
      <c r="H153" s="751"/>
    </row>
    <row r="154" spans="1:8" x14ac:dyDescent="0.25">
      <c r="A154" s="751"/>
      <c r="B154" s="751"/>
      <c r="C154" s="751"/>
      <c r="D154" s="751"/>
      <c r="E154" s="751"/>
      <c r="F154" s="751"/>
      <c r="G154" s="751"/>
      <c r="H154" s="751"/>
    </row>
    <row r="155" spans="1:8" x14ac:dyDescent="0.25">
      <c r="A155" s="751"/>
      <c r="B155" s="751"/>
      <c r="C155" s="751"/>
      <c r="D155" s="751"/>
      <c r="E155" s="751"/>
      <c r="F155" s="751"/>
      <c r="G155" s="751"/>
      <c r="H155" s="751"/>
    </row>
    <row r="156" spans="1:8" x14ac:dyDescent="0.25">
      <c r="A156" s="751"/>
      <c r="B156" s="751"/>
      <c r="C156" s="751"/>
      <c r="D156" s="751"/>
      <c r="E156" s="751"/>
      <c r="F156" s="751"/>
      <c r="G156" s="751"/>
      <c r="H156" s="751"/>
    </row>
    <row r="157" spans="1:8" x14ac:dyDescent="0.25">
      <c r="A157" s="751"/>
      <c r="B157" s="751"/>
      <c r="C157" s="751"/>
      <c r="D157" s="751"/>
      <c r="E157" s="751"/>
      <c r="F157" s="751"/>
      <c r="G157" s="751"/>
      <c r="H157" s="751"/>
    </row>
    <row r="158" spans="1:8" x14ac:dyDescent="0.25">
      <c r="A158" s="751"/>
      <c r="B158" s="751"/>
      <c r="C158" s="751"/>
      <c r="D158" s="751"/>
      <c r="E158" s="751"/>
      <c r="F158" s="751"/>
      <c r="G158" s="751"/>
      <c r="H158" s="751"/>
    </row>
    <row r="159" spans="1:8" x14ac:dyDescent="0.25">
      <c r="A159" s="751"/>
      <c r="B159" s="751"/>
      <c r="C159" s="751"/>
      <c r="D159" s="751"/>
      <c r="E159" s="751"/>
      <c r="F159" s="751"/>
      <c r="G159" s="751"/>
      <c r="H159" s="751"/>
    </row>
    <row r="160" spans="1:8" x14ac:dyDescent="0.25">
      <c r="A160" s="751"/>
      <c r="B160" s="751"/>
      <c r="C160" s="751"/>
      <c r="D160" s="751"/>
      <c r="E160" s="751"/>
      <c r="F160" s="751"/>
      <c r="G160" s="751"/>
      <c r="H160" s="751"/>
    </row>
    <row r="161" spans="1:9" x14ac:dyDescent="0.25">
      <c r="A161" s="751"/>
      <c r="B161" s="751"/>
      <c r="C161" s="751"/>
      <c r="D161" s="751"/>
      <c r="E161" s="751"/>
      <c r="F161" s="751"/>
      <c r="G161" s="751"/>
      <c r="H161" s="751"/>
    </row>
    <row r="162" spans="1:9" x14ac:dyDescent="0.25">
      <c r="A162" s="751"/>
      <c r="B162" s="751"/>
      <c r="C162" s="751"/>
      <c r="D162" s="751"/>
      <c r="E162" s="751"/>
      <c r="F162" s="751"/>
      <c r="G162" s="751"/>
      <c r="H162" s="751"/>
    </row>
    <row r="163" spans="1:9" x14ac:dyDescent="0.25">
      <c r="A163" s="751"/>
      <c r="B163" s="751"/>
      <c r="C163" s="751"/>
      <c r="D163" s="751"/>
      <c r="E163" s="751"/>
      <c r="F163" s="751"/>
      <c r="G163" s="751"/>
      <c r="H163" s="751"/>
    </row>
    <row r="164" spans="1:9" x14ac:dyDescent="0.25">
      <c r="A164" s="751"/>
      <c r="B164" s="751"/>
      <c r="C164" s="751"/>
      <c r="D164" s="751"/>
      <c r="E164" s="751"/>
      <c r="F164" s="751"/>
      <c r="G164" s="751"/>
      <c r="H164" s="751"/>
    </row>
    <row r="165" spans="1:9" x14ac:dyDescent="0.25">
      <c r="A165" s="751"/>
      <c r="B165" s="751"/>
      <c r="C165" s="751"/>
      <c r="D165" s="751"/>
      <c r="E165" s="751"/>
      <c r="F165" s="751"/>
      <c r="G165" s="751"/>
      <c r="H165" s="751"/>
    </row>
    <row r="166" spans="1:9" ht="9" customHeight="1" x14ac:dyDescent="0.25">
      <c r="A166" s="751"/>
      <c r="B166" s="751"/>
      <c r="C166" s="751"/>
      <c r="D166" s="751"/>
      <c r="E166" s="751"/>
      <c r="F166" s="751"/>
      <c r="G166" s="751"/>
      <c r="H166" s="751"/>
      <c r="I166" s="795" t="s">
        <v>75</v>
      </c>
    </row>
    <row r="167" spans="1:9" x14ac:dyDescent="0.25">
      <c r="A167" s="751"/>
      <c r="B167" s="751"/>
      <c r="C167" s="751"/>
      <c r="D167" s="751"/>
      <c r="E167" s="751"/>
      <c r="F167" s="751"/>
      <c r="G167" s="751"/>
      <c r="H167" s="751"/>
    </row>
    <row r="168" spans="1:9" x14ac:dyDescent="0.25">
      <c r="A168" s="751"/>
      <c r="B168" s="751"/>
      <c r="C168" s="751"/>
      <c r="D168" s="751"/>
      <c r="E168" s="751"/>
      <c r="F168" s="751"/>
      <c r="G168" s="751"/>
      <c r="H168" s="751"/>
    </row>
    <row r="169" spans="1:9" x14ac:dyDescent="0.25">
      <c r="A169" s="751"/>
      <c r="B169" s="751"/>
      <c r="C169" s="751"/>
      <c r="D169" s="751"/>
      <c r="E169" s="751"/>
      <c r="F169" s="751"/>
      <c r="G169" s="751"/>
      <c r="H169" s="751"/>
    </row>
    <row r="170" spans="1:9" x14ac:dyDescent="0.25">
      <c r="A170" s="751"/>
      <c r="B170" s="751"/>
      <c r="C170" s="751"/>
      <c r="D170" s="751"/>
      <c r="E170" s="751"/>
      <c r="F170" s="751"/>
      <c r="G170" s="751"/>
      <c r="H170" s="751"/>
    </row>
    <row r="171" spans="1:9" x14ac:dyDescent="0.25">
      <c r="A171" s="751"/>
      <c r="B171" s="751"/>
      <c r="C171" s="751"/>
      <c r="D171" s="751"/>
      <c r="E171" s="751"/>
      <c r="F171" s="751"/>
      <c r="G171" s="751"/>
      <c r="H171" s="751"/>
    </row>
    <row r="172" spans="1:9" x14ac:dyDescent="0.25">
      <c r="A172" s="751"/>
      <c r="B172" s="751"/>
      <c r="C172" s="751"/>
      <c r="D172" s="751"/>
      <c r="E172" s="751"/>
      <c r="F172" s="751"/>
      <c r="G172" s="751"/>
      <c r="H172" s="751"/>
    </row>
    <row r="173" spans="1:9" x14ac:dyDescent="0.25">
      <c r="A173" s="751"/>
      <c r="B173" s="751"/>
      <c r="C173" s="751"/>
      <c r="D173" s="751"/>
      <c r="E173" s="751"/>
      <c r="F173" s="751"/>
      <c r="G173" s="751"/>
      <c r="H173" s="751"/>
    </row>
    <row r="174" spans="1:9" x14ac:dyDescent="0.25">
      <c r="A174" s="751"/>
      <c r="B174" s="751"/>
      <c r="C174" s="751"/>
      <c r="D174" s="751"/>
      <c r="E174" s="751"/>
      <c r="F174" s="751"/>
      <c r="G174" s="751"/>
      <c r="H174" s="751"/>
    </row>
    <row r="175" spans="1:9" x14ac:dyDescent="0.25">
      <c r="A175" s="751"/>
      <c r="B175" s="751"/>
      <c r="C175" s="751"/>
      <c r="D175" s="751"/>
      <c r="E175" s="751"/>
      <c r="F175" s="751"/>
      <c r="G175" s="751"/>
      <c r="H175" s="751"/>
    </row>
    <row r="176" spans="1:9" x14ac:dyDescent="0.25">
      <c r="A176" s="751"/>
      <c r="B176" s="751"/>
      <c r="C176" s="751"/>
      <c r="D176" s="751"/>
      <c r="E176" s="751"/>
      <c r="F176" s="751"/>
      <c r="G176" s="751"/>
      <c r="H176" s="751"/>
    </row>
    <row r="177" spans="1:8" x14ac:dyDescent="0.25">
      <c r="A177" s="751"/>
      <c r="B177" s="751"/>
      <c r="C177" s="751"/>
      <c r="D177" s="751"/>
      <c r="E177" s="751"/>
      <c r="F177" s="751"/>
      <c r="G177" s="751"/>
      <c r="H177" s="751"/>
    </row>
    <row r="178" spans="1:8" x14ac:dyDescent="0.25">
      <c r="A178" s="751"/>
      <c r="B178" s="751"/>
      <c r="C178" s="751"/>
      <c r="D178" s="751"/>
      <c r="E178" s="751"/>
      <c r="F178" s="751"/>
      <c r="G178" s="751"/>
      <c r="H178" s="751"/>
    </row>
    <row r="179" spans="1:8" x14ac:dyDescent="0.25">
      <c r="A179" s="751"/>
      <c r="B179" s="751"/>
      <c r="C179" s="751"/>
      <c r="D179" s="751"/>
      <c r="E179" s="751"/>
      <c r="F179" s="751"/>
      <c r="G179" s="751"/>
      <c r="H179" s="751"/>
    </row>
    <row r="180" spans="1:8" x14ac:dyDescent="0.25">
      <c r="A180" s="751"/>
      <c r="B180" s="751"/>
      <c r="C180" s="751"/>
      <c r="D180" s="751"/>
      <c r="E180" s="751"/>
      <c r="F180" s="751"/>
      <c r="G180" s="751"/>
      <c r="H180" s="751"/>
    </row>
    <row r="181" spans="1:8" x14ac:dyDescent="0.25">
      <c r="A181" s="751"/>
      <c r="B181" s="751"/>
      <c r="C181" s="751"/>
      <c r="D181" s="751"/>
      <c r="E181" s="751"/>
      <c r="F181" s="751"/>
      <c r="G181" s="751"/>
      <c r="H181" s="751"/>
    </row>
    <row r="182" spans="1:8" x14ac:dyDescent="0.25">
      <c r="A182" s="751"/>
      <c r="B182" s="751"/>
      <c r="C182" s="751"/>
      <c r="D182" s="751"/>
      <c r="E182" s="751"/>
      <c r="F182" s="751"/>
      <c r="G182" s="751"/>
      <c r="H182" s="751"/>
    </row>
    <row r="183" spans="1:8" x14ac:dyDescent="0.25">
      <c r="A183" s="751"/>
      <c r="B183" s="751"/>
      <c r="C183" s="751"/>
      <c r="D183" s="751"/>
      <c r="E183" s="751"/>
      <c r="F183" s="751"/>
      <c r="G183" s="751"/>
      <c r="H183" s="751"/>
    </row>
    <row r="184" spans="1:8" x14ac:dyDescent="0.25">
      <c r="A184" s="751"/>
      <c r="B184" s="751"/>
      <c r="C184" s="751"/>
      <c r="D184" s="751"/>
      <c r="E184" s="751"/>
      <c r="F184" s="751"/>
      <c r="G184" s="751"/>
      <c r="H184" s="751"/>
    </row>
    <row r="185" spans="1:8" x14ac:dyDescent="0.25">
      <c r="A185" s="751"/>
      <c r="B185" s="751"/>
      <c r="C185" s="751"/>
      <c r="D185" s="751"/>
      <c r="E185" s="751"/>
      <c r="F185" s="751"/>
      <c r="G185" s="751"/>
      <c r="H185" s="751"/>
    </row>
    <row r="186" spans="1:8" x14ac:dyDescent="0.25">
      <c r="A186" s="751"/>
      <c r="B186" s="751"/>
      <c r="C186" s="751"/>
      <c r="D186" s="751"/>
      <c r="E186" s="751"/>
      <c r="F186" s="751"/>
      <c r="G186" s="751"/>
      <c r="H186" s="751"/>
    </row>
    <row r="187" spans="1:8" x14ac:dyDescent="0.25">
      <c r="A187" s="751"/>
      <c r="B187" s="751"/>
      <c r="C187" s="751"/>
      <c r="D187" s="751"/>
      <c r="E187" s="751"/>
      <c r="F187" s="751"/>
      <c r="G187" s="751"/>
      <c r="H187" s="751"/>
    </row>
    <row r="188" spans="1:8" x14ac:dyDescent="0.25">
      <c r="A188" s="751"/>
      <c r="B188" s="751"/>
      <c r="C188" s="751"/>
      <c r="D188" s="751"/>
      <c r="E188" s="751"/>
      <c r="F188" s="751"/>
      <c r="G188" s="751"/>
      <c r="H188" s="751"/>
    </row>
    <row r="189" spans="1:8" x14ac:dyDescent="0.25">
      <c r="A189" s="751"/>
      <c r="B189" s="751"/>
      <c r="C189" s="751"/>
      <c r="D189" s="751"/>
      <c r="E189" s="751"/>
      <c r="F189" s="751"/>
      <c r="G189" s="751"/>
      <c r="H189" s="751"/>
    </row>
    <row r="190" spans="1:8" x14ac:dyDescent="0.25">
      <c r="A190" s="751"/>
      <c r="B190" s="751"/>
      <c r="C190" s="751"/>
      <c r="D190" s="751"/>
      <c r="E190" s="751"/>
      <c r="F190" s="751"/>
      <c r="G190" s="751"/>
      <c r="H190" s="751"/>
    </row>
    <row r="191" spans="1:8" x14ac:dyDescent="0.25">
      <c r="A191" s="751"/>
      <c r="B191" s="751"/>
      <c r="C191" s="751"/>
      <c r="D191" s="751"/>
      <c r="E191" s="751"/>
      <c r="F191" s="751"/>
      <c r="G191" s="751"/>
      <c r="H191" s="751"/>
    </row>
    <row r="192" spans="1:8" x14ac:dyDescent="0.25">
      <c r="A192" s="751"/>
      <c r="B192" s="751"/>
      <c r="C192" s="751"/>
      <c r="D192" s="751"/>
      <c r="E192" s="751"/>
      <c r="F192" s="751"/>
      <c r="G192" s="751"/>
      <c r="H192" s="751"/>
    </row>
    <row r="193" spans="1:8" x14ac:dyDescent="0.25">
      <c r="A193" s="751"/>
      <c r="B193" s="751"/>
      <c r="C193" s="751"/>
      <c r="D193" s="751"/>
      <c r="E193" s="751"/>
      <c r="F193" s="751"/>
      <c r="G193" s="751"/>
      <c r="H193" s="751"/>
    </row>
    <row r="194" spans="1:8" x14ac:dyDescent="0.25">
      <c r="A194" s="751"/>
      <c r="B194" s="751"/>
      <c r="C194" s="751"/>
      <c r="D194" s="751"/>
      <c r="E194" s="751"/>
      <c r="F194" s="751"/>
      <c r="G194" s="751"/>
      <c r="H194" s="751"/>
    </row>
    <row r="195" spans="1:8" x14ac:dyDescent="0.25">
      <c r="A195" s="751"/>
      <c r="B195" s="751"/>
      <c r="C195" s="751"/>
      <c r="D195" s="751"/>
      <c r="E195" s="751"/>
      <c r="F195" s="751"/>
      <c r="G195" s="751"/>
      <c r="H195" s="751"/>
    </row>
    <row r="196" spans="1:8" x14ac:dyDescent="0.25">
      <c r="A196" s="751"/>
      <c r="B196" s="751"/>
      <c r="C196" s="751"/>
      <c r="D196" s="751"/>
      <c r="E196" s="751"/>
      <c r="F196" s="751"/>
      <c r="G196" s="751"/>
      <c r="H196" s="751"/>
    </row>
    <row r="197" spans="1:8" x14ac:dyDescent="0.25">
      <c r="A197" s="751"/>
      <c r="B197" s="751"/>
      <c r="C197" s="751"/>
      <c r="D197" s="751"/>
      <c r="E197" s="751"/>
      <c r="F197" s="751"/>
      <c r="G197" s="751"/>
      <c r="H197" s="751"/>
    </row>
    <row r="198" spans="1:8" x14ac:dyDescent="0.25">
      <c r="A198" s="751"/>
      <c r="B198" s="751"/>
      <c r="C198" s="751"/>
      <c r="D198" s="751"/>
      <c r="E198" s="751"/>
      <c r="F198" s="751"/>
      <c r="G198" s="751"/>
      <c r="H198" s="751"/>
    </row>
    <row r="199" spans="1:8" x14ac:dyDescent="0.25">
      <c r="A199" s="751"/>
      <c r="B199" s="751"/>
      <c r="C199" s="751"/>
      <c r="D199" s="751"/>
      <c r="E199" s="751"/>
      <c r="F199" s="751"/>
      <c r="G199" s="751"/>
      <c r="H199" s="751"/>
    </row>
    <row r="200" spans="1:8" x14ac:dyDescent="0.25">
      <c r="A200" s="751"/>
      <c r="B200" s="751"/>
      <c r="C200" s="751"/>
      <c r="D200" s="751"/>
      <c r="E200" s="751"/>
      <c r="F200" s="751"/>
      <c r="G200" s="751"/>
      <c r="H200" s="751"/>
    </row>
    <row r="201" spans="1:8" x14ac:dyDescent="0.25">
      <c r="A201" s="751"/>
      <c r="B201" s="751"/>
      <c r="C201" s="751"/>
      <c r="D201" s="751"/>
      <c r="E201" s="751"/>
      <c r="F201" s="751"/>
      <c r="G201" s="751"/>
      <c r="H201" s="751"/>
    </row>
    <row r="202" spans="1:8" x14ac:dyDescent="0.25">
      <c r="A202" s="751"/>
      <c r="B202" s="751"/>
      <c r="C202" s="751"/>
      <c r="D202" s="751"/>
      <c r="E202" s="751"/>
      <c r="F202" s="751"/>
      <c r="G202" s="751"/>
      <c r="H202" s="751"/>
    </row>
    <row r="203" spans="1:8" x14ac:dyDescent="0.25">
      <c r="A203" s="751"/>
      <c r="B203" s="751"/>
      <c r="C203" s="751"/>
      <c r="D203" s="751"/>
      <c r="E203" s="751"/>
      <c r="F203" s="751"/>
      <c r="G203" s="751"/>
      <c r="H203" s="751"/>
    </row>
    <row r="204" spans="1:8" x14ac:dyDescent="0.25">
      <c r="A204" s="751"/>
      <c r="B204" s="751"/>
      <c r="C204" s="751"/>
      <c r="D204" s="751"/>
      <c r="E204" s="751"/>
      <c r="F204" s="751"/>
      <c r="G204" s="751"/>
      <c r="H204" s="751"/>
    </row>
    <row r="205" spans="1:8" x14ac:dyDescent="0.25">
      <c r="A205" s="751"/>
      <c r="B205" s="751"/>
      <c r="C205" s="751"/>
      <c r="D205" s="751"/>
      <c r="E205" s="751"/>
      <c r="F205" s="751"/>
      <c r="G205" s="751"/>
      <c r="H205" s="751"/>
    </row>
    <row r="206" spans="1:8" x14ac:dyDescent="0.25">
      <c r="A206" s="751"/>
      <c r="B206" s="751"/>
      <c r="C206" s="751"/>
      <c r="D206" s="751"/>
      <c r="E206" s="751"/>
      <c r="F206" s="751"/>
      <c r="G206" s="751"/>
      <c r="H206" s="751"/>
    </row>
    <row r="207" spans="1:8" x14ac:dyDescent="0.25">
      <c r="A207" s="751"/>
      <c r="B207" s="751"/>
      <c r="C207" s="751"/>
      <c r="D207" s="751"/>
      <c r="E207" s="751"/>
      <c r="F207" s="751"/>
      <c r="G207" s="751"/>
      <c r="H207" s="751"/>
    </row>
    <row r="208" spans="1:8" x14ac:dyDescent="0.25">
      <c r="A208" s="751"/>
      <c r="B208" s="751"/>
      <c r="C208" s="751"/>
      <c r="D208" s="751"/>
      <c r="E208" s="751"/>
      <c r="F208" s="751"/>
      <c r="G208" s="751"/>
      <c r="H208" s="751"/>
    </row>
    <row r="209" spans="1:8" x14ac:dyDescent="0.25">
      <c r="A209" s="751"/>
      <c r="B209" s="751"/>
      <c r="C209" s="751"/>
      <c r="D209" s="751"/>
      <c r="E209" s="751"/>
      <c r="F209" s="751"/>
      <c r="G209" s="751"/>
      <c r="H209" s="751"/>
    </row>
    <row r="210" spans="1:8" x14ac:dyDescent="0.25">
      <c r="A210" s="751"/>
      <c r="B210" s="751"/>
      <c r="C210" s="751"/>
      <c r="D210" s="751"/>
      <c r="E210" s="751"/>
      <c r="F210" s="751"/>
      <c r="G210" s="751"/>
      <c r="H210" s="751"/>
    </row>
    <row r="211" spans="1:8" x14ac:dyDescent="0.25">
      <c r="A211" s="751"/>
      <c r="B211" s="751"/>
      <c r="C211" s="751"/>
      <c r="D211" s="751"/>
      <c r="E211" s="751"/>
      <c r="F211" s="751"/>
      <c r="G211" s="751"/>
      <c r="H211" s="751"/>
    </row>
    <row r="212" spans="1:8" x14ac:dyDescent="0.25">
      <c r="A212" s="751"/>
      <c r="B212" s="751"/>
      <c r="C212" s="751"/>
      <c r="D212" s="751"/>
      <c r="E212" s="751"/>
      <c r="F212" s="751"/>
      <c r="G212" s="751"/>
      <c r="H212" s="751"/>
    </row>
    <row r="213" spans="1:8" x14ac:dyDescent="0.25">
      <c r="A213" s="751"/>
      <c r="B213" s="751"/>
      <c r="C213" s="751"/>
      <c r="D213" s="751"/>
      <c r="E213" s="751"/>
      <c r="F213" s="751"/>
      <c r="G213" s="751"/>
      <c r="H213" s="751"/>
    </row>
    <row r="214" spans="1:8" x14ac:dyDescent="0.25">
      <c r="A214" s="751"/>
      <c r="B214" s="751"/>
      <c r="C214" s="751"/>
      <c r="D214" s="751"/>
      <c r="E214" s="751"/>
      <c r="F214" s="751"/>
      <c r="G214" s="751"/>
      <c r="H214" s="751"/>
    </row>
    <row r="215" spans="1:8" x14ac:dyDescent="0.25">
      <c r="A215" s="751"/>
      <c r="B215" s="751"/>
      <c r="C215" s="751"/>
      <c r="D215" s="751"/>
      <c r="E215" s="751"/>
      <c r="F215" s="751"/>
      <c r="G215" s="751"/>
      <c r="H215" s="751"/>
    </row>
    <row r="216" spans="1:8" x14ac:dyDescent="0.25">
      <c r="A216" s="751"/>
      <c r="B216" s="751"/>
      <c r="C216" s="751"/>
      <c r="D216" s="751"/>
      <c r="E216" s="751"/>
      <c r="F216" s="751"/>
      <c r="G216" s="751"/>
      <c r="H216" s="751"/>
    </row>
    <row r="217" spans="1:8" x14ac:dyDescent="0.25">
      <c r="A217" s="751"/>
      <c r="B217" s="751"/>
      <c r="C217" s="751"/>
      <c r="D217" s="751"/>
      <c r="E217" s="751"/>
      <c r="F217" s="751"/>
      <c r="G217" s="751"/>
      <c r="H217" s="751"/>
    </row>
    <row r="218" spans="1:8" x14ac:dyDescent="0.25">
      <c r="A218" s="751"/>
      <c r="B218" s="751"/>
      <c r="C218" s="751"/>
      <c r="D218" s="751"/>
      <c r="E218" s="751"/>
      <c r="F218" s="751"/>
      <c r="G218" s="751"/>
      <c r="H218" s="751"/>
    </row>
    <row r="219" spans="1:8" x14ac:dyDescent="0.25">
      <c r="A219" s="751"/>
      <c r="B219" s="751"/>
      <c r="C219" s="751"/>
      <c r="D219" s="751"/>
      <c r="E219" s="751"/>
      <c r="F219" s="751"/>
      <c r="G219" s="751"/>
      <c r="H219" s="751"/>
    </row>
    <row r="220" spans="1:8" x14ac:dyDescent="0.25">
      <c r="A220" s="751"/>
      <c r="B220" s="751"/>
      <c r="C220" s="751"/>
      <c r="D220" s="751"/>
      <c r="E220" s="751"/>
      <c r="F220" s="751"/>
      <c r="G220" s="751"/>
      <c r="H220" s="751"/>
    </row>
    <row r="221" spans="1:8" x14ac:dyDescent="0.25">
      <c r="A221" s="751"/>
      <c r="B221" s="751"/>
      <c r="C221" s="751"/>
      <c r="D221" s="751"/>
      <c r="E221" s="751"/>
      <c r="F221" s="751"/>
      <c r="G221" s="751"/>
      <c r="H221" s="751"/>
    </row>
    <row r="222" spans="1:8" x14ac:dyDescent="0.25">
      <c r="A222" s="751"/>
      <c r="B222" s="751"/>
      <c r="C222" s="751"/>
      <c r="D222" s="751"/>
      <c r="E222" s="751"/>
      <c r="F222" s="751"/>
      <c r="G222" s="751"/>
      <c r="H222" s="751"/>
    </row>
    <row r="223" spans="1:8" x14ac:dyDescent="0.25">
      <c r="A223" s="751"/>
      <c r="B223" s="751"/>
      <c r="C223" s="751"/>
      <c r="D223" s="751"/>
      <c r="E223" s="751"/>
      <c r="F223" s="751"/>
      <c r="G223" s="751"/>
      <c r="H223" s="751"/>
    </row>
    <row r="224" spans="1:8" x14ac:dyDescent="0.25">
      <c r="A224" s="751"/>
      <c r="B224" s="751"/>
      <c r="C224" s="751"/>
      <c r="D224" s="751"/>
      <c r="E224" s="751"/>
      <c r="F224" s="751"/>
      <c r="G224" s="751"/>
      <c r="H224" s="751"/>
    </row>
    <row r="225" spans="1:8" x14ac:dyDescent="0.25">
      <c r="A225" s="751"/>
      <c r="B225" s="751"/>
      <c r="C225" s="751"/>
      <c r="D225" s="751"/>
      <c r="E225" s="751"/>
      <c r="F225" s="751"/>
      <c r="G225" s="751"/>
      <c r="H225" s="751"/>
    </row>
    <row r="226" spans="1:8" x14ac:dyDescent="0.25">
      <c r="A226" s="751"/>
      <c r="B226" s="751"/>
      <c r="C226" s="751"/>
      <c r="D226" s="751"/>
      <c r="E226" s="751"/>
      <c r="F226" s="751"/>
      <c r="G226" s="751"/>
      <c r="H226" s="751"/>
    </row>
    <row r="227" spans="1:8" x14ac:dyDescent="0.25">
      <c r="A227" s="751"/>
      <c r="B227" s="751"/>
      <c r="C227" s="751"/>
      <c r="D227" s="751"/>
      <c r="E227" s="751"/>
      <c r="F227" s="751"/>
      <c r="G227" s="751"/>
      <c r="H227" s="751"/>
    </row>
    <row r="228" spans="1:8" x14ac:dyDescent="0.25">
      <c r="A228" s="751"/>
      <c r="B228" s="751"/>
      <c r="C228" s="751"/>
      <c r="D228" s="751"/>
      <c r="E228" s="751"/>
      <c r="F228" s="751"/>
      <c r="G228" s="751"/>
      <c r="H228" s="751"/>
    </row>
    <row r="229" spans="1:8" x14ac:dyDescent="0.25">
      <c r="A229" s="751"/>
      <c r="B229" s="751"/>
      <c r="C229" s="751"/>
      <c r="D229" s="751"/>
      <c r="E229" s="751"/>
      <c r="F229" s="751"/>
      <c r="G229" s="751"/>
      <c r="H229" s="751"/>
    </row>
    <row r="230" spans="1:8" x14ac:dyDescent="0.25">
      <c r="A230" s="751"/>
      <c r="B230" s="751"/>
      <c r="C230" s="751"/>
      <c r="D230" s="751"/>
      <c r="E230" s="751"/>
      <c r="F230" s="751"/>
      <c r="G230" s="751"/>
      <c r="H230" s="751"/>
    </row>
    <row r="231" spans="1:8" x14ac:dyDescent="0.25">
      <c r="A231" s="751"/>
      <c r="B231" s="751"/>
      <c r="C231" s="751"/>
      <c r="D231" s="751"/>
      <c r="E231" s="751"/>
      <c r="F231" s="751"/>
      <c r="G231" s="751"/>
      <c r="H231" s="751"/>
    </row>
    <row r="232" spans="1:8" x14ac:dyDescent="0.25">
      <c r="A232" s="751"/>
      <c r="B232" s="751"/>
      <c r="C232" s="751"/>
      <c r="D232" s="751"/>
      <c r="E232" s="751"/>
      <c r="F232" s="751"/>
      <c r="G232" s="751"/>
      <c r="H232" s="751"/>
    </row>
  </sheetData>
  <sheetProtection algorithmName="SHA-512" hashValue="Jpjk2UjHnVjSQQiPMeMuMs6XMKR9hRgDh0TuXoHN/CsPaeNF4JXocUXd3JE2H9Z7/703Cj7Yw3GpLHsOJte9Gw==" saltValue="fbBlpSgqEcJBvuDxrJrzRA==" spinCount="100000" sheet="1" objects="1" scenarios="1" selectLockedCells="1"/>
  <mergeCells count="133">
    <mergeCell ref="A6:I6"/>
    <mergeCell ref="A90:H90"/>
    <mergeCell ref="A7:H7"/>
    <mergeCell ref="A119:D119"/>
    <mergeCell ref="F119:I119"/>
    <mergeCell ref="A111:H111"/>
    <mergeCell ref="B89:I89"/>
    <mergeCell ref="B110:I110"/>
    <mergeCell ref="B57:I57"/>
    <mergeCell ref="E66:G66"/>
    <mergeCell ref="A9:H9"/>
    <mergeCell ref="A10:I10"/>
    <mergeCell ref="A11:H11"/>
    <mergeCell ref="B12:I12"/>
    <mergeCell ref="B8:I8"/>
    <mergeCell ref="A42:I42"/>
    <mergeCell ref="B43:I43"/>
    <mergeCell ref="A44:H44"/>
    <mergeCell ref="A45:C45"/>
    <mergeCell ref="D45:I45"/>
    <mergeCell ref="A41:I41"/>
    <mergeCell ref="A33:H33"/>
    <mergeCell ref="A34:I34"/>
    <mergeCell ref="A35:I35"/>
    <mergeCell ref="A122:D122"/>
    <mergeCell ref="F122:I122"/>
    <mergeCell ref="H71:I71"/>
    <mergeCell ref="A79:C79"/>
    <mergeCell ref="D79:I79"/>
    <mergeCell ref="A83:C83"/>
    <mergeCell ref="A75:C75"/>
    <mergeCell ref="D75:I75"/>
    <mergeCell ref="A77:C77"/>
    <mergeCell ref="A98:C98"/>
    <mergeCell ref="A112:I112"/>
    <mergeCell ref="E99:I99"/>
    <mergeCell ref="R8:X8"/>
    <mergeCell ref="Z8:AF8"/>
    <mergeCell ref="A115:D115"/>
    <mergeCell ref="A93:C93"/>
    <mergeCell ref="D93:I93"/>
    <mergeCell ref="A95:C95"/>
    <mergeCell ref="D95:I95"/>
    <mergeCell ref="F115:I115"/>
    <mergeCell ref="D98:I98"/>
    <mergeCell ref="A97:I97"/>
    <mergeCell ref="A69:C69"/>
    <mergeCell ref="H68:I68"/>
    <mergeCell ref="H69:I69"/>
    <mergeCell ref="H70:I70"/>
    <mergeCell ref="A70:C70"/>
    <mergeCell ref="A71:C71"/>
    <mergeCell ref="E71:G71"/>
    <mergeCell ref="D77:I77"/>
    <mergeCell ref="H66:I66"/>
    <mergeCell ref="A67:C67"/>
    <mergeCell ref="A58:H58"/>
    <mergeCell ref="A64:I64"/>
    <mergeCell ref="E67:G67"/>
    <mergeCell ref="A66:C66"/>
    <mergeCell ref="IH8:IN8"/>
    <mergeCell ref="IP8:IV8"/>
    <mergeCell ref="GL8:GR8"/>
    <mergeCell ref="GT8:GZ8"/>
    <mergeCell ref="HB8:HH8"/>
    <mergeCell ref="HJ8:HP8"/>
    <mergeCell ref="DZ8:EF8"/>
    <mergeCell ref="EH8:EN8"/>
    <mergeCell ref="EP8:EV8"/>
    <mergeCell ref="EX8:FD8"/>
    <mergeCell ref="HR8:HX8"/>
    <mergeCell ref="HZ8:IF8"/>
    <mergeCell ref="FF8:FL8"/>
    <mergeCell ref="FN8:FT8"/>
    <mergeCell ref="FV8:GB8"/>
    <mergeCell ref="GD8:GJ8"/>
    <mergeCell ref="CT8:CZ8"/>
    <mergeCell ref="DB8:DH8"/>
    <mergeCell ref="DJ8:DP8"/>
    <mergeCell ref="DR8:DX8"/>
    <mergeCell ref="BN8:BT8"/>
    <mergeCell ref="BV8:CB8"/>
    <mergeCell ref="CD8:CJ8"/>
    <mergeCell ref="CL8:CR8"/>
    <mergeCell ref="AH8:AN8"/>
    <mergeCell ref="AP8:AV8"/>
    <mergeCell ref="AX8:BD8"/>
    <mergeCell ref="BF8:BL8"/>
    <mergeCell ref="J8:P8"/>
    <mergeCell ref="A13:H13"/>
    <mergeCell ref="A14:I14"/>
    <mergeCell ref="A15:H15"/>
    <mergeCell ref="B24:I24"/>
    <mergeCell ref="B20:I20"/>
    <mergeCell ref="A21:H21"/>
    <mergeCell ref="A22:I22"/>
    <mergeCell ref="A23:H23"/>
    <mergeCell ref="B16:I16"/>
    <mergeCell ref="A17:H17"/>
    <mergeCell ref="A18:I18"/>
    <mergeCell ref="A19:H19"/>
    <mergeCell ref="A39:I39"/>
    <mergeCell ref="A36:I36"/>
    <mergeCell ref="A37:I37"/>
    <mergeCell ref="A29:H29"/>
    <mergeCell ref="A30:I30"/>
    <mergeCell ref="A31:H31"/>
    <mergeCell ref="B32:I32"/>
    <mergeCell ref="A25:H25"/>
    <mergeCell ref="A26:I26"/>
    <mergeCell ref="A27:H27"/>
    <mergeCell ref="B28:I28"/>
    <mergeCell ref="E68:G68"/>
    <mergeCell ref="E69:G69"/>
    <mergeCell ref="E70:G70"/>
    <mergeCell ref="A91:I91"/>
    <mergeCell ref="D47:I47"/>
    <mergeCell ref="D51:I51"/>
    <mergeCell ref="D53:I53"/>
    <mergeCell ref="D55:I55"/>
    <mergeCell ref="A47:C47"/>
    <mergeCell ref="A51:C51"/>
    <mergeCell ref="A53:C53"/>
    <mergeCell ref="A55:C55"/>
    <mergeCell ref="H67:I67"/>
    <mergeCell ref="H59:I59"/>
    <mergeCell ref="A68:C68"/>
    <mergeCell ref="D49:I49"/>
    <mergeCell ref="A84:C84"/>
    <mergeCell ref="A85:C85"/>
    <mergeCell ref="A86:C86"/>
    <mergeCell ref="D87:I87"/>
    <mergeCell ref="H83:M83"/>
  </mergeCells>
  <phoneticPr fontId="2" type="noConversion"/>
  <pageMargins left="0.59055118110236227" right="0.39370078740157483" top="0.39370078740157483" bottom="0.19685039370078741" header="0.39370078740157483" footer="0.51181102362204722"/>
  <pageSetup paperSize="9" scale="98" fitToHeight="3" orientation="portrait" r:id="rId1"/>
  <rowBreaks count="2" manualBreakCount="2">
    <brk id="40" max="16383" man="1"/>
    <brk id="109" max="16383" man="1"/>
  </rowBreaks>
  <customProperties>
    <customPr name="SSCSheetTrackingNo"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fitToPage="1"/>
  </sheetPr>
  <dimension ref="A1:IV224"/>
  <sheetViews>
    <sheetView showGridLines="0" zoomScale="180" workbookViewId="0">
      <selection activeCell="D4" sqref="D4"/>
    </sheetView>
  </sheetViews>
  <sheetFormatPr baseColWidth="10" defaultRowHeight="13.2" x14ac:dyDescent="0.25"/>
  <cols>
    <col min="1" max="1" width="5.44140625" style="935" customWidth="1"/>
    <col min="2" max="7" width="11.44140625" style="935"/>
    <col min="8" max="9" width="10.109375" style="935" customWidth="1"/>
    <col min="10" max="256" width="11.44140625" style="935"/>
    <col min="257" max="257" width="5.44140625" style="935" customWidth="1"/>
    <col min="258" max="263" width="11.44140625" style="935"/>
    <col min="264" max="265" width="10.109375" style="935" customWidth="1"/>
    <col min="266" max="512" width="11.44140625" style="935"/>
    <col min="513" max="513" width="5.44140625" style="935" customWidth="1"/>
    <col min="514" max="519" width="11.44140625" style="935"/>
    <col min="520" max="521" width="10.109375" style="935" customWidth="1"/>
    <col min="522" max="768" width="11.44140625" style="935"/>
    <col min="769" max="769" width="5.44140625" style="935" customWidth="1"/>
    <col min="770" max="775" width="11.44140625" style="935"/>
    <col min="776" max="777" width="10.109375" style="935" customWidth="1"/>
    <col min="778" max="1024" width="11.44140625" style="935"/>
    <col min="1025" max="1025" width="5.44140625" style="935" customWidth="1"/>
    <col min="1026" max="1031" width="11.44140625" style="935"/>
    <col min="1032" max="1033" width="10.109375" style="935" customWidth="1"/>
    <col min="1034" max="1280" width="11.44140625" style="935"/>
    <col min="1281" max="1281" width="5.44140625" style="935" customWidth="1"/>
    <col min="1282" max="1287" width="11.44140625" style="935"/>
    <col min="1288" max="1289" width="10.109375" style="935" customWidth="1"/>
    <col min="1290" max="1536" width="11.44140625" style="935"/>
    <col min="1537" max="1537" width="5.44140625" style="935" customWidth="1"/>
    <col min="1538" max="1543" width="11.44140625" style="935"/>
    <col min="1544" max="1545" width="10.109375" style="935" customWidth="1"/>
    <col min="1546" max="1792" width="11.44140625" style="935"/>
    <col min="1793" max="1793" width="5.44140625" style="935" customWidth="1"/>
    <col min="1794" max="1799" width="11.44140625" style="935"/>
    <col min="1800" max="1801" width="10.109375" style="935" customWidth="1"/>
    <col min="1802" max="2048" width="11.44140625" style="935"/>
    <col min="2049" max="2049" width="5.44140625" style="935" customWidth="1"/>
    <col min="2050" max="2055" width="11.44140625" style="935"/>
    <col min="2056" max="2057" width="10.109375" style="935" customWidth="1"/>
    <col min="2058" max="2304" width="11.44140625" style="935"/>
    <col min="2305" max="2305" width="5.44140625" style="935" customWidth="1"/>
    <col min="2306" max="2311" width="11.44140625" style="935"/>
    <col min="2312" max="2313" width="10.109375" style="935" customWidth="1"/>
    <col min="2314" max="2560" width="11.44140625" style="935"/>
    <col min="2561" max="2561" width="5.44140625" style="935" customWidth="1"/>
    <col min="2562" max="2567" width="11.44140625" style="935"/>
    <col min="2568" max="2569" width="10.109375" style="935" customWidth="1"/>
    <col min="2570" max="2816" width="11.44140625" style="935"/>
    <col min="2817" max="2817" width="5.44140625" style="935" customWidth="1"/>
    <col min="2818" max="2823" width="11.44140625" style="935"/>
    <col min="2824" max="2825" width="10.109375" style="935" customWidth="1"/>
    <col min="2826" max="3072" width="11.44140625" style="935"/>
    <col min="3073" max="3073" width="5.44140625" style="935" customWidth="1"/>
    <col min="3074" max="3079" width="11.44140625" style="935"/>
    <col min="3080" max="3081" width="10.109375" style="935" customWidth="1"/>
    <col min="3082" max="3328" width="11.44140625" style="935"/>
    <col min="3329" max="3329" width="5.44140625" style="935" customWidth="1"/>
    <col min="3330" max="3335" width="11.44140625" style="935"/>
    <col min="3336" max="3337" width="10.109375" style="935" customWidth="1"/>
    <col min="3338" max="3584" width="11.44140625" style="935"/>
    <col min="3585" max="3585" width="5.44140625" style="935" customWidth="1"/>
    <col min="3586" max="3591" width="11.44140625" style="935"/>
    <col min="3592" max="3593" width="10.109375" style="935" customWidth="1"/>
    <col min="3594" max="3840" width="11.44140625" style="935"/>
    <col min="3841" max="3841" width="5.44140625" style="935" customWidth="1"/>
    <col min="3842" max="3847" width="11.44140625" style="935"/>
    <col min="3848" max="3849" width="10.109375" style="935" customWidth="1"/>
    <col min="3850" max="4096" width="11.44140625" style="935"/>
    <col min="4097" max="4097" width="5.44140625" style="935" customWidth="1"/>
    <col min="4098" max="4103" width="11.44140625" style="935"/>
    <col min="4104" max="4105" width="10.109375" style="935" customWidth="1"/>
    <col min="4106" max="4352" width="11.44140625" style="935"/>
    <col min="4353" max="4353" width="5.44140625" style="935" customWidth="1"/>
    <col min="4354" max="4359" width="11.44140625" style="935"/>
    <col min="4360" max="4361" width="10.109375" style="935" customWidth="1"/>
    <col min="4362" max="4608" width="11.44140625" style="935"/>
    <col min="4609" max="4609" width="5.44140625" style="935" customWidth="1"/>
    <col min="4610" max="4615" width="11.44140625" style="935"/>
    <col min="4616" max="4617" width="10.109375" style="935" customWidth="1"/>
    <col min="4618" max="4864" width="11.44140625" style="935"/>
    <col min="4865" max="4865" width="5.44140625" style="935" customWidth="1"/>
    <col min="4866" max="4871" width="11.44140625" style="935"/>
    <col min="4872" max="4873" width="10.109375" style="935" customWidth="1"/>
    <col min="4874" max="5120" width="11.44140625" style="935"/>
    <col min="5121" max="5121" width="5.44140625" style="935" customWidth="1"/>
    <col min="5122" max="5127" width="11.44140625" style="935"/>
    <col min="5128" max="5129" width="10.109375" style="935" customWidth="1"/>
    <col min="5130" max="5376" width="11.44140625" style="935"/>
    <col min="5377" max="5377" width="5.44140625" style="935" customWidth="1"/>
    <col min="5378" max="5383" width="11.44140625" style="935"/>
    <col min="5384" max="5385" width="10.109375" style="935" customWidth="1"/>
    <col min="5386" max="5632" width="11.44140625" style="935"/>
    <col min="5633" max="5633" width="5.44140625" style="935" customWidth="1"/>
    <col min="5634" max="5639" width="11.44140625" style="935"/>
    <col min="5640" max="5641" width="10.109375" style="935" customWidth="1"/>
    <col min="5642" max="5888" width="11.44140625" style="935"/>
    <col min="5889" max="5889" width="5.44140625" style="935" customWidth="1"/>
    <col min="5890" max="5895" width="11.44140625" style="935"/>
    <col min="5896" max="5897" width="10.109375" style="935" customWidth="1"/>
    <col min="5898" max="6144" width="11.44140625" style="935"/>
    <col min="6145" max="6145" width="5.44140625" style="935" customWidth="1"/>
    <col min="6146" max="6151" width="11.44140625" style="935"/>
    <col min="6152" max="6153" width="10.109375" style="935" customWidth="1"/>
    <col min="6154" max="6400" width="11.44140625" style="935"/>
    <col min="6401" max="6401" width="5.44140625" style="935" customWidth="1"/>
    <col min="6402" max="6407" width="11.44140625" style="935"/>
    <col min="6408" max="6409" width="10.109375" style="935" customWidth="1"/>
    <col min="6410" max="6656" width="11.44140625" style="935"/>
    <col min="6657" max="6657" width="5.44140625" style="935" customWidth="1"/>
    <col min="6658" max="6663" width="11.44140625" style="935"/>
    <col min="6664" max="6665" width="10.109375" style="935" customWidth="1"/>
    <col min="6666" max="6912" width="11.44140625" style="935"/>
    <col min="6913" max="6913" width="5.44140625" style="935" customWidth="1"/>
    <col min="6914" max="6919" width="11.44140625" style="935"/>
    <col min="6920" max="6921" width="10.109375" style="935" customWidth="1"/>
    <col min="6922" max="7168" width="11.44140625" style="935"/>
    <col min="7169" max="7169" width="5.44140625" style="935" customWidth="1"/>
    <col min="7170" max="7175" width="11.44140625" style="935"/>
    <col min="7176" max="7177" width="10.109375" style="935" customWidth="1"/>
    <col min="7178" max="7424" width="11.44140625" style="935"/>
    <col min="7425" max="7425" width="5.44140625" style="935" customWidth="1"/>
    <col min="7426" max="7431" width="11.44140625" style="935"/>
    <col min="7432" max="7433" width="10.109375" style="935" customWidth="1"/>
    <col min="7434" max="7680" width="11.44140625" style="935"/>
    <col min="7681" max="7681" width="5.44140625" style="935" customWidth="1"/>
    <col min="7682" max="7687" width="11.44140625" style="935"/>
    <col min="7688" max="7689" width="10.109375" style="935" customWidth="1"/>
    <col min="7690" max="7936" width="11.44140625" style="935"/>
    <col min="7937" max="7937" width="5.44140625" style="935" customWidth="1"/>
    <col min="7938" max="7943" width="11.44140625" style="935"/>
    <col min="7944" max="7945" width="10.109375" style="935" customWidth="1"/>
    <col min="7946" max="8192" width="11.44140625" style="935"/>
    <col min="8193" max="8193" width="5.44140625" style="935" customWidth="1"/>
    <col min="8194" max="8199" width="11.44140625" style="935"/>
    <col min="8200" max="8201" width="10.109375" style="935" customWidth="1"/>
    <col min="8202" max="8448" width="11.44140625" style="935"/>
    <col min="8449" max="8449" width="5.44140625" style="935" customWidth="1"/>
    <col min="8450" max="8455" width="11.44140625" style="935"/>
    <col min="8456" max="8457" width="10.109375" style="935" customWidth="1"/>
    <col min="8458" max="8704" width="11.44140625" style="935"/>
    <col min="8705" max="8705" width="5.44140625" style="935" customWidth="1"/>
    <col min="8706" max="8711" width="11.44140625" style="935"/>
    <col min="8712" max="8713" width="10.109375" style="935" customWidth="1"/>
    <col min="8714" max="8960" width="11.44140625" style="935"/>
    <col min="8961" max="8961" width="5.44140625" style="935" customWidth="1"/>
    <col min="8962" max="8967" width="11.44140625" style="935"/>
    <col min="8968" max="8969" width="10.109375" style="935" customWidth="1"/>
    <col min="8970" max="9216" width="11.44140625" style="935"/>
    <col min="9217" max="9217" width="5.44140625" style="935" customWidth="1"/>
    <col min="9218" max="9223" width="11.44140625" style="935"/>
    <col min="9224" max="9225" width="10.109375" style="935" customWidth="1"/>
    <col min="9226" max="9472" width="11.44140625" style="935"/>
    <col min="9473" max="9473" width="5.44140625" style="935" customWidth="1"/>
    <col min="9474" max="9479" width="11.44140625" style="935"/>
    <col min="9480" max="9481" width="10.109375" style="935" customWidth="1"/>
    <col min="9482" max="9728" width="11.44140625" style="935"/>
    <col min="9729" max="9729" width="5.44140625" style="935" customWidth="1"/>
    <col min="9730" max="9735" width="11.44140625" style="935"/>
    <col min="9736" max="9737" width="10.109375" style="935" customWidth="1"/>
    <col min="9738" max="9984" width="11.44140625" style="935"/>
    <col min="9985" max="9985" width="5.44140625" style="935" customWidth="1"/>
    <col min="9986" max="9991" width="11.44140625" style="935"/>
    <col min="9992" max="9993" width="10.109375" style="935" customWidth="1"/>
    <col min="9994" max="10240" width="11.44140625" style="935"/>
    <col min="10241" max="10241" width="5.44140625" style="935" customWidth="1"/>
    <col min="10242" max="10247" width="11.44140625" style="935"/>
    <col min="10248" max="10249" width="10.109375" style="935" customWidth="1"/>
    <col min="10250" max="10496" width="11.44140625" style="935"/>
    <col min="10497" max="10497" width="5.44140625" style="935" customWidth="1"/>
    <col min="10498" max="10503" width="11.44140625" style="935"/>
    <col min="10504" max="10505" width="10.109375" style="935" customWidth="1"/>
    <col min="10506" max="10752" width="11.44140625" style="935"/>
    <col min="10753" max="10753" width="5.44140625" style="935" customWidth="1"/>
    <col min="10754" max="10759" width="11.44140625" style="935"/>
    <col min="10760" max="10761" width="10.109375" style="935" customWidth="1"/>
    <col min="10762" max="11008" width="11.44140625" style="935"/>
    <col min="11009" max="11009" width="5.44140625" style="935" customWidth="1"/>
    <col min="11010" max="11015" width="11.44140625" style="935"/>
    <col min="11016" max="11017" width="10.109375" style="935" customWidth="1"/>
    <col min="11018" max="11264" width="11.44140625" style="935"/>
    <col min="11265" max="11265" width="5.44140625" style="935" customWidth="1"/>
    <col min="11266" max="11271" width="11.44140625" style="935"/>
    <col min="11272" max="11273" width="10.109375" style="935" customWidth="1"/>
    <col min="11274" max="11520" width="11.44140625" style="935"/>
    <col min="11521" max="11521" width="5.44140625" style="935" customWidth="1"/>
    <col min="11522" max="11527" width="11.44140625" style="935"/>
    <col min="11528" max="11529" width="10.109375" style="935" customWidth="1"/>
    <col min="11530" max="11776" width="11.44140625" style="935"/>
    <col min="11777" max="11777" width="5.44140625" style="935" customWidth="1"/>
    <col min="11778" max="11783" width="11.44140625" style="935"/>
    <col min="11784" max="11785" width="10.109375" style="935" customWidth="1"/>
    <col min="11786" max="12032" width="11.44140625" style="935"/>
    <col min="12033" max="12033" width="5.44140625" style="935" customWidth="1"/>
    <col min="12034" max="12039" width="11.44140625" style="935"/>
    <col min="12040" max="12041" width="10.109375" style="935" customWidth="1"/>
    <col min="12042" max="12288" width="11.44140625" style="935"/>
    <col min="12289" max="12289" width="5.44140625" style="935" customWidth="1"/>
    <col min="12290" max="12295" width="11.44140625" style="935"/>
    <col min="12296" max="12297" width="10.109375" style="935" customWidth="1"/>
    <col min="12298" max="12544" width="11.44140625" style="935"/>
    <col min="12545" max="12545" width="5.44140625" style="935" customWidth="1"/>
    <col min="12546" max="12551" width="11.44140625" style="935"/>
    <col min="12552" max="12553" width="10.109375" style="935" customWidth="1"/>
    <col min="12554" max="12800" width="11.44140625" style="935"/>
    <col min="12801" max="12801" width="5.44140625" style="935" customWidth="1"/>
    <col min="12802" max="12807" width="11.44140625" style="935"/>
    <col min="12808" max="12809" width="10.109375" style="935" customWidth="1"/>
    <col min="12810" max="13056" width="11.44140625" style="935"/>
    <col min="13057" max="13057" width="5.44140625" style="935" customWidth="1"/>
    <col min="13058" max="13063" width="11.44140625" style="935"/>
    <col min="13064" max="13065" width="10.109375" style="935" customWidth="1"/>
    <col min="13066" max="13312" width="11.44140625" style="935"/>
    <col min="13313" max="13313" width="5.44140625" style="935" customWidth="1"/>
    <col min="13314" max="13319" width="11.44140625" style="935"/>
    <col min="13320" max="13321" width="10.109375" style="935" customWidth="1"/>
    <col min="13322" max="13568" width="11.44140625" style="935"/>
    <col min="13569" max="13569" width="5.44140625" style="935" customWidth="1"/>
    <col min="13570" max="13575" width="11.44140625" style="935"/>
    <col min="13576" max="13577" width="10.109375" style="935" customWidth="1"/>
    <col min="13578" max="13824" width="11.44140625" style="935"/>
    <col min="13825" max="13825" width="5.44140625" style="935" customWidth="1"/>
    <col min="13826" max="13831" width="11.44140625" style="935"/>
    <col min="13832" max="13833" width="10.109375" style="935" customWidth="1"/>
    <col min="13834" max="14080" width="11.44140625" style="935"/>
    <col min="14081" max="14081" width="5.44140625" style="935" customWidth="1"/>
    <col min="14082" max="14087" width="11.44140625" style="935"/>
    <col min="14088" max="14089" width="10.109375" style="935" customWidth="1"/>
    <col min="14090" max="14336" width="11.44140625" style="935"/>
    <col min="14337" max="14337" width="5.44140625" style="935" customWidth="1"/>
    <col min="14338" max="14343" width="11.44140625" style="935"/>
    <col min="14344" max="14345" width="10.109375" style="935" customWidth="1"/>
    <col min="14346" max="14592" width="11.44140625" style="935"/>
    <col min="14593" max="14593" width="5.44140625" style="935" customWidth="1"/>
    <col min="14594" max="14599" width="11.44140625" style="935"/>
    <col min="14600" max="14601" width="10.109375" style="935" customWidth="1"/>
    <col min="14602" max="14848" width="11.44140625" style="935"/>
    <col min="14849" max="14849" width="5.44140625" style="935" customWidth="1"/>
    <col min="14850" max="14855" width="11.44140625" style="935"/>
    <col min="14856" max="14857" width="10.109375" style="935" customWidth="1"/>
    <col min="14858" max="15104" width="11.44140625" style="935"/>
    <col min="15105" max="15105" width="5.44140625" style="935" customWidth="1"/>
    <col min="15106" max="15111" width="11.44140625" style="935"/>
    <col min="15112" max="15113" width="10.109375" style="935" customWidth="1"/>
    <col min="15114" max="15360" width="11.44140625" style="935"/>
    <col min="15361" max="15361" width="5.44140625" style="935" customWidth="1"/>
    <col min="15362" max="15367" width="11.44140625" style="935"/>
    <col min="15368" max="15369" width="10.109375" style="935" customWidth="1"/>
    <col min="15370" max="15616" width="11.44140625" style="935"/>
    <col min="15617" max="15617" width="5.44140625" style="935" customWidth="1"/>
    <col min="15618" max="15623" width="11.44140625" style="935"/>
    <col min="15624" max="15625" width="10.109375" style="935" customWidth="1"/>
    <col min="15626" max="15872" width="11.44140625" style="935"/>
    <col min="15873" max="15873" width="5.44140625" style="935" customWidth="1"/>
    <col min="15874" max="15879" width="11.44140625" style="935"/>
    <col min="15880" max="15881" width="10.109375" style="935" customWidth="1"/>
    <col min="15882" max="16128" width="11.44140625" style="935"/>
    <col min="16129" max="16129" width="5.44140625" style="935" customWidth="1"/>
    <col min="16130" max="16135" width="11.44140625" style="935"/>
    <col min="16136" max="16137" width="10.109375" style="935" customWidth="1"/>
    <col min="16138" max="16384" width="11.44140625" style="935"/>
  </cols>
  <sheetData>
    <row r="1" spans="1:256" x14ac:dyDescent="0.25">
      <c r="A1" s="1211" t="str">
        <f>IF(J4&lt;&gt;1,"VEUILLEZ UTILISER L'ONGLET 'INDÉPENDANT'!","Seuls la date de début du contrat et les informations du plan seront repris de l'onglet 'Input'")</f>
        <v>VEUILLEZ UTILISER L'ONGLET 'INDÉPENDANT'!</v>
      </c>
    </row>
    <row r="2" spans="1:256" ht="6.75" customHeight="1" x14ac:dyDescent="0.25">
      <c r="A2" s="1211"/>
    </row>
    <row r="4" spans="1:256" x14ac:dyDescent="0.25">
      <c r="A4" s="1212" t="s">
        <v>3591</v>
      </c>
      <c r="D4" s="1213" t="s">
        <v>78</v>
      </c>
      <c r="J4" s="1214">
        <f>Input!K5</f>
        <v>2</v>
      </c>
    </row>
    <row r="5" spans="1:256" ht="34.5" customHeight="1" x14ac:dyDescent="0.25"/>
    <row r="6" spans="1:256" ht="19.5" customHeight="1" x14ac:dyDescent="0.25">
      <c r="A6" s="1505" t="s">
        <v>3592</v>
      </c>
      <c r="B6" s="1505"/>
      <c r="C6" s="1505"/>
      <c r="D6" s="1505"/>
      <c r="E6" s="1505"/>
      <c r="F6" s="1505"/>
      <c r="G6" s="1505"/>
      <c r="H6" s="1505"/>
      <c r="I6" s="1505"/>
    </row>
    <row r="7" spans="1:256" ht="9.75" customHeight="1" x14ac:dyDescent="0.25">
      <c r="A7" s="1504"/>
      <c r="B7" s="1504"/>
      <c r="C7" s="1504"/>
      <c r="D7" s="1504"/>
      <c r="E7" s="1504"/>
      <c r="F7" s="1504"/>
      <c r="G7" s="1504"/>
      <c r="H7" s="1504"/>
    </row>
    <row r="8" spans="1:256" ht="12.75" customHeight="1" x14ac:dyDescent="0.25">
      <c r="A8" s="1215" t="s">
        <v>1140</v>
      </c>
      <c r="B8" s="1484" t="s">
        <v>3406</v>
      </c>
      <c r="C8" s="1484"/>
      <c r="D8" s="1484"/>
      <c r="E8" s="1484"/>
      <c r="F8" s="1484"/>
      <c r="G8" s="1484"/>
      <c r="H8" s="1484"/>
      <c r="I8" s="1484"/>
      <c r="J8" s="1503"/>
      <c r="K8" s="1503"/>
      <c r="L8" s="1503"/>
      <c r="M8" s="1503"/>
      <c r="N8" s="1503"/>
      <c r="O8" s="1503"/>
      <c r="P8" s="1503"/>
      <c r="Q8" s="1216"/>
      <c r="R8" s="1503"/>
      <c r="S8" s="1503"/>
      <c r="T8" s="1503"/>
      <c r="U8" s="1503"/>
      <c r="V8" s="1503"/>
      <c r="W8" s="1503"/>
      <c r="X8" s="1503"/>
      <c r="Y8" s="1216"/>
      <c r="Z8" s="1503"/>
      <c r="AA8" s="1503"/>
      <c r="AB8" s="1503"/>
      <c r="AC8" s="1503"/>
      <c r="AD8" s="1503"/>
      <c r="AE8" s="1503"/>
      <c r="AF8" s="1503"/>
      <c r="AG8" s="1216"/>
      <c r="AH8" s="1503"/>
      <c r="AI8" s="1503"/>
      <c r="AJ8" s="1503"/>
      <c r="AK8" s="1503"/>
      <c r="AL8" s="1503"/>
      <c r="AM8" s="1503"/>
      <c r="AN8" s="1503"/>
      <c r="AO8" s="1216"/>
      <c r="AP8" s="1503"/>
      <c r="AQ8" s="1503"/>
      <c r="AR8" s="1503"/>
      <c r="AS8" s="1503"/>
      <c r="AT8" s="1503"/>
      <c r="AU8" s="1503"/>
      <c r="AV8" s="1503"/>
      <c r="AW8" s="1216"/>
      <c r="AX8" s="1503"/>
      <c r="AY8" s="1503"/>
      <c r="AZ8" s="1503"/>
      <c r="BA8" s="1503"/>
      <c r="BB8" s="1503"/>
      <c r="BC8" s="1503"/>
      <c r="BD8" s="1503"/>
      <c r="BE8" s="1216"/>
      <c r="BF8" s="1503"/>
      <c r="BG8" s="1503"/>
      <c r="BH8" s="1503"/>
      <c r="BI8" s="1503"/>
      <c r="BJ8" s="1503"/>
      <c r="BK8" s="1503"/>
      <c r="BL8" s="1503"/>
      <c r="BM8" s="1216"/>
      <c r="BN8" s="1503"/>
      <c r="BO8" s="1503"/>
      <c r="BP8" s="1503"/>
      <c r="BQ8" s="1503"/>
      <c r="BR8" s="1503"/>
      <c r="BS8" s="1503"/>
      <c r="BT8" s="1503"/>
      <c r="BU8" s="1216"/>
      <c r="BV8" s="1503"/>
      <c r="BW8" s="1503"/>
      <c r="BX8" s="1503"/>
      <c r="BY8" s="1503"/>
      <c r="BZ8" s="1503"/>
      <c r="CA8" s="1503"/>
      <c r="CB8" s="1503"/>
      <c r="CC8" s="1216"/>
      <c r="CD8" s="1503"/>
      <c r="CE8" s="1503"/>
      <c r="CF8" s="1503"/>
      <c r="CG8" s="1503"/>
      <c r="CH8" s="1503"/>
      <c r="CI8" s="1503"/>
      <c r="CJ8" s="1503"/>
      <c r="CK8" s="1216"/>
      <c r="CL8" s="1503"/>
      <c r="CM8" s="1503"/>
      <c r="CN8" s="1503"/>
      <c r="CO8" s="1503"/>
      <c r="CP8" s="1503"/>
      <c r="CQ8" s="1503"/>
      <c r="CR8" s="1503"/>
      <c r="CS8" s="1216"/>
      <c r="CT8" s="1503"/>
      <c r="CU8" s="1503"/>
      <c r="CV8" s="1503"/>
      <c r="CW8" s="1503"/>
      <c r="CX8" s="1503"/>
      <c r="CY8" s="1503"/>
      <c r="CZ8" s="1503"/>
      <c r="DA8" s="1216"/>
      <c r="DB8" s="1503"/>
      <c r="DC8" s="1503"/>
      <c r="DD8" s="1503"/>
      <c r="DE8" s="1503"/>
      <c r="DF8" s="1503"/>
      <c r="DG8" s="1503"/>
      <c r="DH8" s="1503"/>
      <c r="DI8" s="1216"/>
      <c r="DJ8" s="1503"/>
      <c r="DK8" s="1503"/>
      <c r="DL8" s="1503"/>
      <c r="DM8" s="1503"/>
      <c r="DN8" s="1503"/>
      <c r="DO8" s="1503"/>
      <c r="DP8" s="1503"/>
      <c r="DQ8" s="1216"/>
      <c r="DR8" s="1503"/>
      <c r="DS8" s="1503"/>
      <c r="DT8" s="1503"/>
      <c r="DU8" s="1503"/>
      <c r="DV8" s="1503"/>
      <c r="DW8" s="1503"/>
      <c r="DX8" s="1503"/>
      <c r="DY8" s="1216"/>
      <c r="DZ8" s="1503"/>
      <c r="EA8" s="1503"/>
      <c r="EB8" s="1503"/>
      <c r="EC8" s="1503"/>
      <c r="ED8" s="1503"/>
      <c r="EE8" s="1503"/>
      <c r="EF8" s="1503"/>
      <c r="EG8" s="1216"/>
      <c r="EH8" s="1503"/>
      <c r="EI8" s="1503"/>
      <c r="EJ8" s="1503"/>
      <c r="EK8" s="1503"/>
      <c r="EL8" s="1503"/>
      <c r="EM8" s="1503"/>
      <c r="EN8" s="1503"/>
      <c r="EO8" s="1216"/>
      <c r="EP8" s="1503"/>
      <c r="EQ8" s="1503"/>
      <c r="ER8" s="1503"/>
      <c r="ES8" s="1503"/>
      <c r="ET8" s="1503"/>
      <c r="EU8" s="1503"/>
      <c r="EV8" s="1503"/>
      <c r="EW8" s="1216"/>
      <c r="EX8" s="1503"/>
      <c r="EY8" s="1503"/>
      <c r="EZ8" s="1503"/>
      <c r="FA8" s="1503"/>
      <c r="FB8" s="1503"/>
      <c r="FC8" s="1503"/>
      <c r="FD8" s="1503"/>
      <c r="FE8" s="1216"/>
      <c r="FF8" s="1503"/>
      <c r="FG8" s="1503"/>
      <c r="FH8" s="1503"/>
      <c r="FI8" s="1503"/>
      <c r="FJ8" s="1503"/>
      <c r="FK8" s="1503"/>
      <c r="FL8" s="1503"/>
      <c r="FM8" s="1216"/>
      <c r="FN8" s="1503"/>
      <c r="FO8" s="1503"/>
      <c r="FP8" s="1503"/>
      <c r="FQ8" s="1503"/>
      <c r="FR8" s="1503"/>
      <c r="FS8" s="1503"/>
      <c r="FT8" s="1503"/>
      <c r="FU8" s="1216"/>
      <c r="FV8" s="1503"/>
      <c r="FW8" s="1503"/>
      <c r="FX8" s="1503"/>
      <c r="FY8" s="1503"/>
      <c r="FZ8" s="1503"/>
      <c r="GA8" s="1503"/>
      <c r="GB8" s="1503"/>
      <c r="GC8" s="1216"/>
      <c r="GD8" s="1503"/>
      <c r="GE8" s="1503"/>
      <c r="GF8" s="1503"/>
      <c r="GG8" s="1503"/>
      <c r="GH8" s="1503"/>
      <c r="GI8" s="1503"/>
      <c r="GJ8" s="1503"/>
      <c r="GK8" s="1216"/>
      <c r="GL8" s="1503"/>
      <c r="GM8" s="1503"/>
      <c r="GN8" s="1503"/>
      <c r="GO8" s="1503"/>
      <c r="GP8" s="1503"/>
      <c r="GQ8" s="1503"/>
      <c r="GR8" s="1503"/>
      <c r="GS8" s="1216"/>
      <c r="GT8" s="1503"/>
      <c r="GU8" s="1503"/>
      <c r="GV8" s="1503"/>
      <c r="GW8" s="1503"/>
      <c r="GX8" s="1503"/>
      <c r="GY8" s="1503"/>
      <c r="GZ8" s="1503"/>
      <c r="HA8" s="1216"/>
      <c r="HB8" s="1503"/>
      <c r="HC8" s="1503"/>
      <c r="HD8" s="1503"/>
      <c r="HE8" s="1503"/>
      <c r="HF8" s="1503"/>
      <c r="HG8" s="1503"/>
      <c r="HH8" s="1503"/>
      <c r="HI8" s="1216"/>
      <c r="HJ8" s="1503"/>
      <c r="HK8" s="1503"/>
      <c r="HL8" s="1503"/>
      <c r="HM8" s="1503"/>
      <c r="HN8" s="1503"/>
      <c r="HO8" s="1503"/>
      <c r="HP8" s="1503"/>
      <c r="HQ8" s="1216"/>
      <c r="HR8" s="1503"/>
      <c r="HS8" s="1503"/>
      <c r="HT8" s="1503"/>
      <c r="HU8" s="1503"/>
      <c r="HV8" s="1503"/>
      <c r="HW8" s="1503"/>
      <c r="HX8" s="1503"/>
      <c r="HY8" s="1216"/>
      <c r="HZ8" s="1503"/>
      <c r="IA8" s="1503"/>
      <c r="IB8" s="1503"/>
      <c r="IC8" s="1503"/>
      <c r="ID8" s="1503"/>
      <c r="IE8" s="1503"/>
      <c r="IF8" s="1503"/>
      <c r="IG8" s="1216"/>
      <c r="IH8" s="1503"/>
      <c r="II8" s="1503"/>
      <c r="IJ8" s="1503"/>
      <c r="IK8" s="1503"/>
      <c r="IL8" s="1503"/>
      <c r="IM8" s="1503"/>
      <c r="IN8" s="1503"/>
      <c r="IO8" s="1216"/>
      <c r="IP8" s="1503"/>
      <c r="IQ8" s="1503"/>
      <c r="IR8" s="1503"/>
      <c r="IS8" s="1503"/>
      <c r="IT8" s="1503"/>
      <c r="IU8" s="1503"/>
      <c r="IV8" s="1503"/>
    </row>
    <row r="9" spans="1:256" ht="6.75" customHeight="1" x14ac:dyDescent="0.25">
      <c r="A9" s="1485"/>
      <c r="B9" s="1486"/>
      <c r="C9" s="1486"/>
      <c r="D9" s="1486"/>
      <c r="E9" s="1486"/>
      <c r="F9" s="1486"/>
      <c r="G9" s="1486"/>
      <c r="H9" s="1486"/>
    </row>
    <row r="10" spans="1:256" ht="99" customHeight="1" x14ac:dyDescent="0.25">
      <c r="A10" s="1487" t="s">
        <v>3892</v>
      </c>
      <c r="B10" s="1487"/>
      <c r="C10" s="1487"/>
      <c r="D10" s="1487"/>
      <c r="E10" s="1487"/>
      <c r="F10" s="1487"/>
      <c r="G10" s="1487"/>
      <c r="H10" s="1487"/>
      <c r="I10" s="1487"/>
    </row>
    <row r="11" spans="1:256" ht="4.5" customHeight="1" x14ac:dyDescent="0.25">
      <c r="A11" s="1504"/>
      <c r="B11" s="1504"/>
      <c r="C11" s="1504"/>
      <c r="D11" s="1504"/>
      <c r="E11" s="1504"/>
      <c r="F11" s="1504"/>
      <c r="G11" s="1504"/>
      <c r="H11" s="1504"/>
    </row>
    <row r="12" spans="1:256" ht="12.75" customHeight="1" x14ac:dyDescent="0.25">
      <c r="A12" s="1215" t="s">
        <v>1138</v>
      </c>
      <c r="B12" s="1484" t="s">
        <v>3407</v>
      </c>
      <c r="C12" s="1484"/>
      <c r="D12" s="1484"/>
      <c r="E12" s="1484"/>
      <c r="F12" s="1484"/>
      <c r="G12" s="1484"/>
      <c r="H12" s="1484"/>
      <c r="I12" s="1484"/>
    </row>
    <row r="13" spans="1:256" ht="6.75" customHeight="1" x14ac:dyDescent="0.25">
      <c r="A13" s="1485"/>
      <c r="B13" s="1485"/>
      <c r="C13" s="1485"/>
      <c r="D13" s="1485"/>
      <c r="E13" s="1485"/>
      <c r="F13" s="1485"/>
      <c r="G13" s="1485"/>
      <c r="H13" s="1485"/>
    </row>
    <row r="14" spans="1:256" ht="36.75" customHeight="1" x14ac:dyDescent="0.25">
      <c r="A14" s="1487" t="s">
        <v>3893</v>
      </c>
      <c r="B14" s="1487"/>
      <c r="C14" s="1487"/>
      <c r="D14" s="1487"/>
      <c r="E14" s="1487"/>
      <c r="F14" s="1487"/>
      <c r="G14" s="1487"/>
      <c r="H14" s="1487"/>
      <c r="I14" s="1487"/>
    </row>
    <row r="15" spans="1:256" ht="7.5" customHeight="1" x14ac:dyDescent="0.25">
      <c r="A15" s="1487"/>
      <c r="B15" s="1487"/>
      <c r="C15" s="1487"/>
      <c r="D15" s="1487"/>
      <c r="E15" s="1487"/>
      <c r="F15" s="1487"/>
      <c r="G15" s="1487"/>
      <c r="H15" s="1487"/>
    </row>
    <row r="16" spans="1:256" ht="12.75" customHeight="1" x14ac:dyDescent="0.25">
      <c r="A16" s="1215" t="s">
        <v>1139</v>
      </c>
      <c r="B16" s="1484" t="s">
        <v>3593</v>
      </c>
      <c r="C16" s="1484"/>
      <c r="D16" s="1484"/>
      <c r="E16" s="1484"/>
      <c r="F16" s="1484"/>
      <c r="G16" s="1484"/>
      <c r="H16" s="1484"/>
      <c r="I16" s="1484"/>
    </row>
    <row r="17" spans="1:9" ht="6.75" customHeight="1" x14ac:dyDescent="0.25">
      <c r="A17" s="1485"/>
      <c r="B17" s="1485"/>
      <c r="C17" s="1485"/>
      <c r="D17" s="1485"/>
      <c r="E17" s="1485"/>
      <c r="F17" s="1485"/>
      <c r="G17" s="1485"/>
      <c r="H17" s="1485"/>
    </row>
    <row r="18" spans="1:9" ht="83.25" customHeight="1" x14ac:dyDescent="0.25">
      <c r="A18" s="1487" t="s">
        <v>3594</v>
      </c>
      <c r="B18" s="1487"/>
      <c r="C18" s="1487"/>
      <c r="D18" s="1487"/>
      <c r="E18" s="1487"/>
      <c r="F18" s="1487"/>
      <c r="G18" s="1487"/>
      <c r="H18" s="1487"/>
      <c r="I18" s="1487"/>
    </row>
    <row r="19" spans="1:9" ht="7.5" customHeight="1" x14ac:dyDescent="0.25">
      <c r="A19" s="1487"/>
      <c r="B19" s="1487"/>
      <c r="C19" s="1487"/>
      <c r="D19" s="1487"/>
      <c r="E19" s="1487"/>
      <c r="F19" s="1487"/>
      <c r="G19" s="1487"/>
      <c r="H19" s="1487"/>
    </row>
    <row r="20" spans="1:9" ht="12.75" customHeight="1" x14ac:dyDescent="0.25">
      <c r="A20" s="1215" t="s">
        <v>1143</v>
      </c>
      <c r="B20" s="1484" t="s">
        <v>3408</v>
      </c>
      <c r="C20" s="1484"/>
      <c r="D20" s="1484"/>
      <c r="E20" s="1484"/>
      <c r="F20" s="1484"/>
      <c r="G20" s="1484"/>
      <c r="H20" s="1484"/>
      <c r="I20" s="1484"/>
    </row>
    <row r="21" spans="1:9" ht="6.75" customHeight="1" x14ac:dyDescent="0.25">
      <c r="A21" s="1485"/>
      <c r="B21" s="1485"/>
      <c r="C21" s="1485"/>
      <c r="D21" s="1485"/>
      <c r="E21" s="1485"/>
      <c r="F21" s="1485"/>
      <c r="G21" s="1485"/>
      <c r="H21" s="1485"/>
    </row>
    <row r="22" spans="1:9" ht="57.75" customHeight="1" x14ac:dyDescent="0.25">
      <c r="A22" s="1487" t="s">
        <v>3595</v>
      </c>
      <c r="B22" s="1487"/>
      <c r="C22" s="1487"/>
      <c r="D22" s="1487"/>
      <c r="E22" s="1487"/>
      <c r="F22" s="1487"/>
      <c r="G22" s="1487"/>
      <c r="H22" s="1487"/>
      <c r="I22" s="1487"/>
    </row>
    <row r="23" spans="1:9" ht="7.5" customHeight="1" x14ac:dyDescent="0.25">
      <c r="A23" s="1487"/>
      <c r="B23" s="1487"/>
      <c r="C23" s="1487"/>
      <c r="D23" s="1487"/>
      <c r="E23" s="1487"/>
      <c r="F23" s="1487"/>
      <c r="G23" s="1487"/>
      <c r="H23" s="1487"/>
    </row>
    <row r="24" spans="1:9" ht="12.75" customHeight="1" x14ac:dyDescent="0.25">
      <c r="A24" s="1215" t="s">
        <v>65</v>
      </c>
      <c r="B24" s="1484" t="s">
        <v>3596</v>
      </c>
      <c r="C24" s="1484"/>
      <c r="D24" s="1484"/>
      <c r="E24" s="1484"/>
      <c r="F24" s="1484"/>
      <c r="G24" s="1484"/>
      <c r="H24" s="1484"/>
      <c r="I24" s="1484"/>
    </row>
    <row r="25" spans="1:9" ht="6.75" customHeight="1" x14ac:dyDescent="0.25">
      <c r="A25" s="1485"/>
      <c r="B25" s="1485"/>
      <c r="C25" s="1485"/>
      <c r="D25" s="1485"/>
      <c r="E25" s="1485"/>
      <c r="F25" s="1485"/>
      <c r="G25" s="1485"/>
      <c r="H25" s="1485"/>
    </row>
    <row r="26" spans="1:9" ht="51" customHeight="1" x14ac:dyDescent="0.25">
      <c r="A26" s="1487" t="s">
        <v>3597</v>
      </c>
      <c r="B26" s="1487"/>
      <c r="C26" s="1487"/>
      <c r="D26" s="1487"/>
      <c r="E26" s="1487"/>
      <c r="F26" s="1487"/>
      <c r="G26" s="1487"/>
      <c r="H26" s="1487"/>
      <c r="I26" s="1487"/>
    </row>
    <row r="27" spans="1:9" ht="6" customHeight="1" x14ac:dyDescent="0.25">
      <c r="A27" s="1487"/>
      <c r="B27" s="1487"/>
      <c r="C27" s="1487"/>
      <c r="D27" s="1487"/>
      <c r="E27" s="1487"/>
      <c r="F27" s="1487"/>
      <c r="G27" s="1487"/>
      <c r="H27" s="1487"/>
    </row>
    <row r="28" spans="1:9" ht="12.75" customHeight="1" x14ac:dyDescent="0.25">
      <c r="A28" s="1215" t="s">
        <v>66</v>
      </c>
      <c r="B28" s="1484" t="s">
        <v>3410</v>
      </c>
      <c r="C28" s="1484"/>
      <c r="D28" s="1484"/>
      <c r="E28" s="1484"/>
      <c r="F28" s="1484"/>
      <c r="G28" s="1484"/>
      <c r="H28" s="1484"/>
      <c r="I28" s="1484"/>
    </row>
    <row r="29" spans="1:9" ht="6.75" customHeight="1" x14ac:dyDescent="0.25">
      <c r="A29" s="1485"/>
      <c r="B29" s="1485"/>
      <c r="C29" s="1485"/>
      <c r="D29" s="1485"/>
      <c r="E29" s="1485"/>
      <c r="F29" s="1485"/>
      <c r="G29" s="1485"/>
      <c r="H29" s="1485"/>
    </row>
    <row r="30" spans="1:9" ht="135.75" customHeight="1" x14ac:dyDescent="0.25">
      <c r="A30" s="1487" t="s">
        <v>3894</v>
      </c>
      <c r="B30" s="1487"/>
      <c r="C30" s="1487"/>
      <c r="D30" s="1487"/>
      <c r="E30" s="1487"/>
      <c r="F30" s="1487"/>
      <c r="G30" s="1487"/>
      <c r="H30" s="1487"/>
      <c r="I30" s="1487"/>
    </row>
    <row r="31" spans="1:9" ht="6" customHeight="1" x14ac:dyDescent="0.25">
      <c r="A31" s="1487"/>
      <c r="B31" s="1487"/>
      <c r="C31" s="1487"/>
      <c r="D31" s="1487"/>
      <c r="E31" s="1487"/>
      <c r="F31" s="1487"/>
      <c r="G31" s="1487"/>
      <c r="H31" s="1487"/>
    </row>
    <row r="32" spans="1:9" ht="12.75" customHeight="1" x14ac:dyDescent="0.25">
      <c r="A32" s="1215" t="s">
        <v>67</v>
      </c>
      <c r="B32" s="1484" t="s">
        <v>3598</v>
      </c>
      <c r="C32" s="1484"/>
      <c r="D32" s="1484"/>
      <c r="E32" s="1484"/>
      <c r="F32" s="1484"/>
      <c r="G32" s="1484"/>
      <c r="H32" s="1484"/>
      <c r="I32" s="1484"/>
    </row>
    <row r="33" spans="1:9" ht="6.75" customHeight="1" x14ac:dyDescent="0.25">
      <c r="A33" s="1485"/>
      <c r="B33" s="1485"/>
      <c r="C33" s="1485"/>
      <c r="D33" s="1485"/>
      <c r="E33" s="1485"/>
      <c r="F33" s="1485"/>
      <c r="G33" s="1485"/>
      <c r="H33" s="1485"/>
    </row>
    <row r="34" spans="1:9" ht="58.5" customHeight="1" x14ac:dyDescent="0.25">
      <c r="A34" s="1487" t="s">
        <v>3599</v>
      </c>
      <c r="B34" s="1487"/>
      <c r="C34" s="1487"/>
      <c r="D34" s="1487"/>
      <c r="E34" s="1487"/>
      <c r="F34" s="1487"/>
      <c r="G34" s="1487"/>
      <c r="H34" s="1487"/>
      <c r="I34" s="1487"/>
    </row>
    <row r="35" spans="1:9" ht="16.5" customHeight="1" x14ac:dyDescent="0.25">
      <c r="A35" s="1490" t="s">
        <v>3895</v>
      </c>
      <c r="B35" s="1501"/>
      <c r="C35" s="1501"/>
      <c r="D35" s="1501"/>
      <c r="E35" s="1501"/>
      <c r="F35" s="1501"/>
      <c r="G35" s="1501"/>
      <c r="H35" s="1501"/>
      <c r="I35" s="1501"/>
    </row>
    <row r="36" spans="1:9" ht="12.75" customHeight="1" x14ac:dyDescent="0.25">
      <c r="A36" s="1501" t="str">
        <f>IF(Input!K51=1,"il existe une assurance indemnités journalières maladie collective de 720 jours ou plus (selon l'offre).*","il n'existe pas d'assurance indemnités journalières maladie collective")</f>
        <v>il existe une assurance indemnités journalières maladie collective de 720 jours ou plus (selon l'offre).*</v>
      </c>
      <c r="B36" s="1501"/>
      <c r="C36" s="1501"/>
      <c r="D36" s="1501"/>
      <c r="E36" s="1501"/>
      <c r="F36" s="1501"/>
      <c r="G36" s="1501"/>
      <c r="H36" s="1501"/>
      <c r="I36" s="1501"/>
    </row>
    <row r="37" spans="1:9" ht="12.75" customHeight="1" x14ac:dyDescent="0.25">
      <c r="A37" s="1501" t="str">
        <f>IF(Input!K51=1,"","(délai d'attente 360 jours selon offre, voir point 8).")</f>
        <v/>
      </c>
      <c r="B37" s="1501"/>
      <c r="C37" s="1501"/>
      <c r="D37" s="1501"/>
      <c r="E37" s="1501"/>
      <c r="F37" s="1501"/>
      <c r="G37" s="1501"/>
      <c r="H37" s="1501"/>
      <c r="I37" s="1501"/>
    </row>
    <row r="38" spans="1:9" ht="15" customHeight="1" x14ac:dyDescent="0.25">
      <c r="A38" s="1201"/>
      <c r="B38" s="1201"/>
      <c r="C38" s="1201"/>
      <c r="D38" s="1201"/>
      <c r="E38" s="1201"/>
      <c r="F38" s="1201"/>
      <c r="G38" s="1201"/>
      <c r="H38" s="1201"/>
      <c r="I38" s="1219" t="s">
        <v>73</v>
      </c>
    </row>
    <row r="39" spans="1:9" ht="42.75" customHeight="1" x14ac:dyDescent="0.25">
      <c r="A39" s="1495" t="s">
        <v>3600</v>
      </c>
      <c r="B39" s="1502"/>
      <c r="C39" s="1502"/>
      <c r="D39" s="1502"/>
      <c r="E39" s="1502"/>
      <c r="F39" s="1502"/>
      <c r="G39" s="1502"/>
      <c r="H39" s="1502"/>
      <c r="I39" s="1502"/>
    </row>
    <row r="40" spans="1:9" ht="90.75" customHeight="1" x14ac:dyDescent="0.25">
      <c r="A40" s="1496" t="s">
        <v>3896</v>
      </c>
      <c r="B40" s="1496"/>
      <c r="C40" s="1496"/>
      <c r="D40" s="1496"/>
      <c r="E40" s="1496"/>
      <c r="F40" s="1496"/>
      <c r="G40" s="1496"/>
      <c r="H40" s="1496"/>
      <c r="I40" s="1496"/>
    </row>
    <row r="41" spans="1:9" ht="10.5" customHeight="1" x14ac:dyDescent="0.25">
      <c r="A41" s="1496"/>
      <c r="B41" s="1496"/>
      <c r="C41" s="1496"/>
      <c r="D41" s="1496"/>
      <c r="E41" s="1496"/>
      <c r="F41" s="1496"/>
      <c r="G41" s="1496"/>
      <c r="H41" s="1496"/>
      <c r="I41" s="1496"/>
    </row>
    <row r="42" spans="1:9" ht="12.75" customHeight="1" x14ac:dyDescent="0.25">
      <c r="A42" s="1215" t="s">
        <v>68</v>
      </c>
      <c r="B42" s="1484" t="s">
        <v>226</v>
      </c>
      <c r="C42" s="1484"/>
      <c r="D42" s="1484"/>
      <c r="E42" s="1484"/>
      <c r="F42" s="1484"/>
      <c r="G42" s="1484"/>
      <c r="H42" s="1484"/>
      <c r="I42" s="1484"/>
    </row>
    <row r="43" spans="1:9" ht="6.75" customHeight="1" x14ac:dyDescent="0.25">
      <c r="A43" s="1485"/>
      <c r="B43" s="1485"/>
      <c r="C43" s="1485"/>
      <c r="D43" s="1485"/>
      <c r="E43" s="1485"/>
      <c r="F43" s="1485"/>
      <c r="G43" s="1485"/>
      <c r="H43" s="1485"/>
    </row>
    <row r="44" spans="1:9" ht="12.75" customHeight="1" x14ac:dyDescent="0.25">
      <c r="A44" s="1482" t="s">
        <v>3601</v>
      </c>
      <c r="B44" s="1482"/>
      <c r="C44" s="1482"/>
      <c r="D44" s="1481" t="s">
        <v>230</v>
      </c>
      <c r="E44" s="1481"/>
      <c r="F44" s="1481"/>
      <c r="G44" s="1481"/>
      <c r="H44" s="1481"/>
      <c r="I44" s="1481"/>
    </row>
    <row r="45" spans="1:9" ht="3" customHeight="1" x14ac:dyDescent="0.25">
      <c r="A45" s="1201"/>
      <c r="B45" s="1201"/>
      <c r="C45" s="1201"/>
      <c r="D45" s="1201"/>
      <c r="E45" s="1201"/>
      <c r="F45" s="1201"/>
      <c r="G45" s="1201"/>
      <c r="H45" s="1201"/>
    </row>
    <row r="46" spans="1:9" ht="12.75" customHeight="1" x14ac:dyDescent="0.25">
      <c r="A46" s="1482" t="s">
        <v>226</v>
      </c>
      <c r="B46" s="1482"/>
      <c r="C46" s="1482"/>
      <c r="D46" s="1481" t="s">
        <v>230</v>
      </c>
      <c r="E46" s="1481"/>
      <c r="F46" s="1481"/>
      <c r="G46" s="1481"/>
      <c r="H46" s="1481"/>
      <c r="I46" s="1481"/>
    </row>
    <row r="47" spans="1:9" ht="3" customHeight="1" x14ac:dyDescent="0.25">
      <c r="A47" s="1201"/>
      <c r="B47" s="1201"/>
      <c r="C47" s="1201"/>
      <c r="D47" s="1201"/>
      <c r="E47" s="1201"/>
      <c r="F47" s="1201"/>
      <c r="G47" s="1201"/>
      <c r="H47" s="1201"/>
    </row>
    <row r="48" spans="1:9" ht="12.75" customHeight="1" x14ac:dyDescent="0.25">
      <c r="A48" s="1201" t="s">
        <v>3626</v>
      </c>
      <c r="B48" s="1201"/>
      <c r="C48" s="1201"/>
      <c r="D48" s="1481" t="s">
        <v>230</v>
      </c>
      <c r="E48" s="1481"/>
      <c r="F48" s="1481"/>
      <c r="G48" s="1481"/>
      <c r="H48" s="1481"/>
      <c r="I48" s="1481"/>
    </row>
    <row r="49" spans="1:9" ht="3" customHeight="1" x14ac:dyDescent="0.25">
      <c r="A49" s="1201"/>
      <c r="B49" s="1201"/>
      <c r="C49" s="1201"/>
      <c r="D49" s="1201"/>
      <c r="E49" s="1201"/>
      <c r="F49" s="1201"/>
      <c r="G49" s="1201"/>
      <c r="H49" s="1201"/>
    </row>
    <row r="50" spans="1:9" ht="12.75" customHeight="1" x14ac:dyDescent="0.25">
      <c r="A50" s="1482" t="s">
        <v>3602</v>
      </c>
      <c r="B50" s="1482"/>
      <c r="C50" s="1482"/>
      <c r="D50" s="1481" t="s">
        <v>230</v>
      </c>
      <c r="E50" s="1481"/>
      <c r="F50" s="1481"/>
      <c r="G50" s="1481"/>
      <c r="H50" s="1481"/>
      <c r="I50" s="1481"/>
    </row>
    <row r="51" spans="1:9" ht="3" customHeight="1" x14ac:dyDescent="0.25">
      <c r="A51" s="1201"/>
      <c r="B51" s="1201"/>
      <c r="C51" s="1201"/>
      <c r="D51" s="1201"/>
      <c r="E51" s="1201"/>
      <c r="F51" s="1201"/>
      <c r="G51" s="1201"/>
      <c r="H51" s="1201"/>
    </row>
    <row r="52" spans="1:9" ht="12.75" customHeight="1" x14ac:dyDescent="0.25">
      <c r="A52" s="1482" t="s">
        <v>3603</v>
      </c>
      <c r="B52" s="1482"/>
      <c r="C52" s="1482"/>
      <c r="D52" s="1481" t="s">
        <v>230</v>
      </c>
      <c r="E52" s="1481"/>
      <c r="F52" s="1481"/>
      <c r="G52" s="1481"/>
      <c r="H52" s="1481"/>
      <c r="I52" s="1481"/>
    </row>
    <row r="53" spans="1:9" ht="3" customHeight="1" x14ac:dyDescent="0.25">
      <c r="A53" s="1201"/>
      <c r="B53" s="1201"/>
      <c r="C53" s="1201"/>
      <c r="D53" s="1201"/>
      <c r="E53" s="1201"/>
      <c r="F53" s="1201"/>
      <c r="G53" s="1201"/>
      <c r="H53" s="1201"/>
    </row>
    <row r="54" spans="1:9" ht="12.75" customHeight="1" x14ac:dyDescent="0.25">
      <c r="A54" s="1482" t="s">
        <v>3568</v>
      </c>
      <c r="B54" s="1482"/>
      <c r="C54" s="1482"/>
      <c r="D54" s="1481" t="s">
        <v>230</v>
      </c>
      <c r="E54" s="1481"/>
      <c r="F54" s="1481"/>
      <c r="G54" s="1481"/>
      <c r="H54" s="1481"/>
      <c r="I54" s="1481"/>
    </row>
    <row r="55" spans="1:9" ht="12.75" customHeight="1" x14ac:dyDescent="0.25">
      <c r="A55" s="1217"/>
      <c r="B55" s="1218"/>
      <c r="C55" s="1218"/>
      <c r="D55" s="1218"/>
      <c r="E55" s="1218"/>
      <c r="F55" s="1218"/>
      <c r="G55" s="1218"/>
      <c r="H55" s="1218"/>
      <c r="I55" s="1218"/>
    </row>
    <row r="56" spans="1:9" ht="12.75" customHeight="1" x14ac:dyDescent="0.25">
      <c r="A56" s="1215" t="s">
        <v>69</v>
      </c>
      <c r="B56" s="1484" t="s">
        <v>3891</v>
      </c>
      <c r="C56" s="1484"/>
      <c r="D56" s="1484"/>
      <c r="E56" s="1484"/>
      <c r="F56" s="1484"/>
      <c r="G56" s="1484"/>
      <c r="H56" s="1484"/>
      <c r="I56" s="1484"/>
    </row>
    <row r="57" spans="1:9" ht="6" customHeight="1" x14ac:dyDescent="0.25">
      <c r="A57" s="1485"/>
      <c r="B57" s="1485"/>
      <c r="C57" s="1485"/>
      <c r="D57" s="1485"/>
      <c r="E57" s="1485"/>
      <c r="F57" s="1485"/>
      <c r="G57" s="1485"/>
      <c r="H57" s="1485"/>
    </row>
    <row r="58" spans="1:9" s="1221" customFormat="1" ht="16.5" customHeight="1" x14ac:dyDescent="0.25">
      <c r="A58" s="1198" t="s">
        <v>3604</v>
      </c>
      <c r="B58" s="1200"/>
      <c r="C58" s="1197">
        <f>Input!E15</f>
        <v>45292</v>
      </c>
      <c r="D58" s="1200"/>
      <c r="E58" s="1198" t="s">
        <v>3605</v>
      </c>
      <c r="F58" s="1198"/>
      <c r="G58" s="1198"/>
      <c r="H58" s="1435" t="s">
        <v>57</v>
      </c>
      <c r="I58" s="1435"/>
    </row>
    <row r="59" spans="1:9" ht="12" customHeight="1" x14ac:dyDescent="0.25">
      <c r="A59" s="1201"/>
      <c r="B59" s="1201"/>
      <c r="C59" s="1201"/>
      <c r="D59" s="1201"/>
      <c r="E59" s="1201"/>
      <c r="F59" s="1201"/>
      <c r="G59" s="1201"/>
      <c r="H59" s="1201"/>
    </row>
    <row r="60" spans="1:9" s="1221" customFormat="1" ht="12.75" customHeight="1" x14ac:dyDescent="0.25">
      <c r="A60" s="1200" t="s">
        <v>3606</v>
      </c>
      <c r="B60" s="1200"/>
      <c r="C60" s="1200"/>
      <c r="D60" s="1200"/>
      <c r="E60" s="1200"/>
      <c r="F60" s="1200"/>
      <c r="G60" s="1200"/>
      <c r="H60" s="1200"/>
      <c r="I60" s="1200"/>
    </row>
    <row r="61" spans="1:9" ht="12" customHeight="1" x14ac:dyDescent="0.25">
      <c r="A61" s="1201"/>
      <c r="B61" s="1201"/>
      <c r="C61" s="1201"/>
      <c r="D61" s="1201"/>
      <c r="E61" s="1201"/>
      <c r="F61" s="1201"/>
      <c r="G61" s="1201"/>
      <c r="H61" s="1201"/>
    </row>
    <row r="62" spans="1:9" s="1221" customFormat="1" ht="12.75" customHeight="1" x14ac:dyDescent="0.25">
      <c r="A62" s="1198" t="s">
        <v>3897</v>
      </c>
      <c r="B62" s="1200"/>
      <c r="C62" s="1200"/>
      <c r="D62" s="1200"/>
      <c r="E62" s="1200"/>
      <c r="F62" s="1200"/>
      <c r="G62" s="1200"/>
      <c r="H62" s="1200"/>
      <c r="I62" s="1200"/>
    </row>
    <row r="63" spans="1:9" ht="39" customHeight="1" x14ac:dyDescent="0.25">
      <c r="A63" s="1495" t="s">
        <v>3898</v>
      </c>
      <c r="B63" s="1496"/>
      <c r="C63" s="1496"/>
      <c r="D63" s="1496"/>
      <c r="E63" s="1496"/>
      <c r="F63" s="1496"/>
      <c r="G63" s="1496"/>
      <c r="H63" s="1496"/>
      <c r="I63" s="1496"/>
    </row>
    <row r="64" spans="1:9" ht="3" customHeight="1" x14ac:dyDescent="0.25">
      <c r="A64" s="1201"/>
      <c r="B64" s="1201"/>
      <c r="C64" s="1201"/>
      <c r="D64" s="1201"/>
      <c r="E64" s="1201"/>
      <c r="F64" s="1201"/>
      <c r="G64" s="1201"/>
      <c r="H64" s="1201"/>
    </row>
    <row r="65" spans="1:9" ht="27.75" customHeight="1" x14ac:dyDescent="0.25">
      <c r="A65" s="1497" t="s">
        <v>2783</v>
      </c>
      <c r="B65" s="1497"/>
      <c r="C65" s="1497"/>
      <c r="D65" s="1234" t="s">
        <v>3607</v>
      </c>
      <c r="E65" s="1498" t="s">
        <v>3608</v>
      </c>
      <c r="F65" s="1498"/>
      <c r="G65" s="1498"/>
      <c r="H65" s="1499" t="s">
        <v>3609</v>
      </c>
      <c r="I65" s="1500"/>
    </row>
    <row r="66" spans="1:9" ht="15" customHeight="1" x14ac:dyDescent="0.25">
      <c r="A66" s="1492"/>
      <c r="B66" s="1492"/>
      <c r="C66" s="1492"/>
      <c r="D66" s="1223"/>
      <c r="E66" s="1493"/>
      <c r="F66" s="1493"/>
      <c r="G66" s="1493"/>
      <c r="H66" s="1494"/>
      <c r="I66" s="1494"/>
    </row>
    <row r="67" spans="1:9" ht="15" customHeight="1" x14ac:dyDescent="0.25">
      <c r="A67" s="1492"/>
      <c r="B67" s="1492"/>
      <c r="C67" s="1492"/>
      <c r="D67" s="1223"/>
      <c r="E67" s="1493"/>
      <c r="F67" s="1493"/>
      <c r="G67" s="1493"/>
      <c r="H67" s="1494"/>
      <c r="I67" s="1494"/>
    </row>
    <row r="68" spans="1:9" ht="15" customHeight="1" x14ac:dyDescent="0.25">
      <c r="A68" s="1492"/>
      <c r="B68" s="1492"/>
      <c r="C68" s="1492"/>
      <c r="D68" s="1223"/>
      <c r="E68" s="1493"/>
      <c r="F68" s="1493"/>
      <c r="G68" s="1493"/>
      <c r="H68" s="1494"/>
      <c r="I68" s="1494"/>
    </row>
    <row r="69" spans="1:9" ht="15" customHeight="1" x14ac:dyDescent="0.25">
      <c r="A69" s="1492"/>
      <c r="B69" s="1492"/>
      <c r="C69" s="1492"/>
      <c r="D69" s="1223"/>
      <c r="E69" s="1493"/>
      <c r="F69" s="1493"/>
      <c r="G69" s="1493"/>
      <c r="H69" s="1494"/>
      <c r="I69" s="1494"/>
    </row>
    <row r="70" spans="1:9" ht="13.95" customHeight="1" x14ac:dyDescent="0.25">
      <c r="A70" s="1201"/>
      <c r="B70" s="1201"/>
      <c r="C70" s="1201"/>
      <c r="D70" s="1201"/>
      <c r="E70" s="1201"/>
      <c r="F70" s="1201"/>
      <c r="G70" s="1201"/>
      <c r="H70" s="1201"/>
    </row>
    <row r="71" spans="1:9" s="1221" customFormat="1" ht="12.75" customHeight="1" x14ac:dyDescent="0.25">
      <c r="A71" s="1198" t="s">
        <v>3610</v>
      </c>
      <c r="B71" s="1200"/>
      <c r="C71" s="1200"/>
      <c r="D71" s="1200"/>
      <c r="E71" s="1200"/>
      <c r="F71" s="1200"/>
      <c r="G71" s="1200"/>
      <c r="H71" s="1200"/>
      <c r="I71" s="1200"/>
    </row>
    <row r="72" spans="1:9" ht="3" customHeight="1" x14ac:dyDescent="0.25">
      <c r="A72" s="1201"/>
      <c r="B72" s="1201"/>
      <c r="C72" s="1201"/>
      <c r="D72" s="1201"/>
      <c r="E72" s="1201"/>
      <c r="F72" s="1201"/>
      <c r="G72" s="1201"/>
      <c r="H72" s="1201"/>
    </row>
    <row r="73" spans="1:9" ht="12.75" customHeight="1" x14ac:dyDescent="0.25">
      <c r="A73" s="1482" t="s">
        <v>3044</v>
      </c>
      <c r="B73" s="1482"/>
      <c r="C73" s="1482"/>
      <c r="D73" s="1481" t="s">
        <v>230</v>
      </c>
      <c r="E73" s="1481"/>
      <c r="F73" s="1481"/>
      <c r="G73" s="1481"/>
      <c r="H73" s="1481"/>
      <c r="I73" s="1481"/>
    </row>
    <row r="74" spans="1:9" ht="3" customHeight="1" x14ac:dyDescent="0.25">
      <c r="A74" s="1201"/>
      <c r="B74" s="1201"/>
      <c r="C74" s="1201"/>
      <c r="D74" s="1201"/>
      <c r="E74" s="1201"/>
      <c r="F74" s="1201"/>
      <c r="G74" s="1201"/>
      <c r="H74" s="1201"/>
    </row>
    <row r="75" spans="1:9" ht="12.75" customHeight="1" x14ac:dyDescent="0.25">
      <c r="A75" s="1482" t="s">
        <v>226</v>
      </c>
      <c r="B75" s="1482"/>
      <c r="C75" s="1482"/>
      <c r="D75" s="1481" t="s">
        <v>230</v>
      </c>
      <c r="E75" s="1481"/>
      <c r="F75" s="1481"/>
      <c r="G75" s="1481"/>
      <c r="H75" s="1481"/>
      <c r="I75" s="1481"/>
    </row>
    <row r="76" spans="1:9" ht="3" customHeight="1" x14ac:dyDescent="0.25">
      <c r="A76" s="1201"/>
      <c r="B76" s="1201"/>
      <c r="C76" s="1201"/>
      <c r="D76" s="1201"/>
      <c r="E76" s="1201"/>
      <c r="F76" s="1201"/>
      <c r="G76" s="1201"/>
      <c r="H76" s="1201"/>
    </row>
    <row r="77" spans="1:9" ht="12.75" customHeight="1" x14ac:dyDescent="0.25">
      <c r="A77" s="1482" t="s">
        <v>3611</v>
      </c>
      <c r="B77" s="1482"/>
      <c r="C77" s="1482"/>
      <c r="D77" s="1481" t="s">
        <v>230</v>
      </c>
      <c r="E77" s="1481"/>
      <c r="F77" s="1481"/>
      <c r="G77" s="1481"/>
      <c r="H77" s="1481"/>
      <c r="I77" s="1481"/>
    </row>
    <row r="78" spans="1:9" ht="9.75" customHeight="1" x14ac:dyDescent="0.25">
      <c r="A78" s="1217"/>
      <c r="B78" s="1218"/>
      <c r="C78" s="1218"/>
      <c r="D78" s="1218"/>
      <c r="E78" s="1218"/>
      <c r="F78" s="1218"/>
      <c r="G78" s="1218"/>
      <c r="H78" s="1218"/>
      <c r="I78" s="1218"/>
    </row>
    <row r="79" spans="1:9" s="1221" customFormat="1" ht="12.75" customHeight="1" x14ac:dyDescent="0.25">
      <c r="A79" s="1198" t="s">
        <v>3612</v>
      </c>
      <c r="B79" s="1200"/>
      <c r="C79" s="1224"/>
      <c r="D79" s="1225" t="s">
        <v>3613</v>
      </c>
      <c r="E79" s="1200"/>
      <c r="F79" s="1200"/>
      <c r="G79" s="1200"/>
      <c r="H79" s="1200"/>
      <c r="I79" s="1200"/>
    </row>
    <row r="80" spans="1:9" ht="3" customHeight="1" x14ac:dyDescent="0.25">
      <c r="A80" s="1201"/>
      <c r="B80" s="1201"/>
      <c r="C80" s="1201"/>
      <c r="D80" s="1226"/>
      <c r="E80" s="1201"/>
      <c r="F80" s="1201"/>
      <c r="G80" s="1201"/>
      <c r="H80" s="1201"/>
    </row>
    <row r="81" spans="1:15" ht="12.75" customHeight="1" x14ac:dyDescent="0.25">
      <c r="A81" s="1491"/>
      <c r="B81" s="1491"/>
      <c r="C81" s="1491"/>
      <c r="D81" s="1440" t="s">
        <v>2124</v>
      </c>
      <c r="E81" s="1440"/>
      <c r="F81" s="1440"/>
      <c r="G81" s="1440"/>
      <c r="H81" s="1204"/>
      <c r="I81" s="1204"/>
      <c r="J81" s="1228"/>
      <c r="K81" s="1228"/>
      <c r="L81" s="1228"/>
      <c r="M81" s="1228"/>
      <c r="N81" s="1228"/>
      <c r="O81" s="1228"/>
    </row>
    <row r="82" spans="1:15" ht="9.75" customHeight="1" x14ac:dyDescent="0.25">
      <c r="A82" s="1201"/>
      <c r="B82" s="1201"/>
      <c r="C82" s="1201"/>
      <c r="D82" s="1201"/>
      <c r="E82" s="1201"/>
      <c r="F82" s="1201"/>
      <c r="G82" s="1201"/>
      <c r="H82" s="1201"/>
    </row>
    <row r="83" spans="1:15" ht="12.75" customHeight="1" x14ac:dyDescent="0.25">
      <c r="A83" s="1215" t="s">
        <v>70</v>
      </c>
      <c r="B83" s="1484" t="s">
        <v>3468</v>
      </c>
      <c r="C83" s="1484"/>
      <c r="D83" s="1484"/>
      <c r="E83" s="1484"/>
      <c r="F83" s="1484"/>
      <c r="G83" s="1484"/>
      <c r="H83" s="1484"/>
      <c r="I83" s="1484"/>
    </row>
    <row r="84" spans="1:15" ht="6.75" customHeight="1" x14ac:dyDescent="0.25">
      <c r="A84" s="1485"/>
      <c r="B84" s="1486"/>
      <c r="C84" s="1486"/>
      <c r="D84" s="1486"/>
      <c r="E84" s="1486"/>
      <c r="F84" s="1486"/>
      <c r="G84" s="1486"/>
      <c r="H84" s="1486"/>
    </row>
    <row r="85" spans="1:15" s="1229" customFormat="1" ht="23.25" customHeight="1" x14ac:dyDescent="0.25">
      <c r="A85" s="1488" t="s">
        <v>3614</v>
      </c>
      <c r="B85" s="1488"/>
      <c r="C85" s="1488"/>
      <c r="D85" s="1488"/>
      <c r="E85" s="1488"/>
      <c r="F85" s="1488"/>
      <c r="G85" s="1488"/>
      <c r="H85" s="1488"/>
      <c r="I85" s="1488"/>
    </row>
    <row r="86" spans="1:15" ht="8.4" customHeight="1" x14ac:dyDescent="0.25">
      <c r="A86" s="1201"/>
      <c r="B86" s="1201"/>
      <c r="C86" s="1201"/>
      <c r="D86" s="1201"/>
      <c r="E86" s="1201"/>
      <c r="F86" s="1201"/>
      <c r="G86" s="1201"/>
      <c r="H86" s="1201"/>
    </row>
    <row r="87" spans="1:15" ht="15" customHeight="1" x14ac:dyDescent="0.25">
      <c r="A87" s="1482" t="s">
        <v>3615</v>
      </c>
      <c r="B87" s="1482"/>
      <c r="C87" s="1482"/>
      <c r="D87" s="1481" t="s">
        <v>230</v>
      </c>
      <c r="E87" s="1481"/>
      <c r="F87" s="1481"/>
      <c r="G87" s="1481"/>
      <c r="H87" s="1481"/>
      <c r="I87" s="1481"/>
    </row>
    <row r="88" spans="1:15" ht="3" customHeight="1" x14ac:dyDescent="0.25">
      <c r="A88" s="1201"/>
      <c r="B88" s="1201"/>
      <c r="C88" s="1201"/>
      <c r="D88" s="1201"/>
      <c r="E88" s="1201"/>
      <c r="F88" s="1201"/>
      <c r="G88" s="1201"/>
      <c r="H88" s="1201"/>
    </row>
    <row r="89" spans="1:15" ht="15" customHeight="1" x14ac:dyDescent="0.25">
      <c r="A89" s="1482" t="s">
        <v>3616</v>
      </c>
      <c r="B89" s="1482"/>
      <c r="C89" s="1482"/>
      <c r="D89" s="1481" t="s">
        <v>230</v>
      </c>
      <c r="E89" s="1481"/>
      <c r="F89" s="1481"/>
      <c r="G89" s="1481"/>
      <c r="H89" s="1481"/>
      <c r="I89" s="1481"/>
    </row>
    <row r="90" spans="1:15" ht="3" customHeight="1" x14ac:dyDescent="0.25">
      <c r="A90" s="1201"/>
      <c r="B90" s="1201"/>
      <c r="C90" s="1201"/>
      <c r="D90" s="1201"/>
      <c r="E90" s="1201"/>
      <c r="F90" s="1201"/>
      <c r="G90" s="1201"/>
      <c r="H90" s="1201"/>
    </row>
    <row r="91" spans="1:15" ht="12.75" customHeight="1" x14ac:dyDescent="0.25">
      <c r="A91" s="1489" t="s">
        <v>3617</v>
      </c>
      <c r="B91" s="1490"/>
      <c r="C91" s="1490"/>
      <c r="D91" s="1490"/>
      <c r="E91" s="1490"/>
      <c r="F91" s="1490"/>
      <c r="G91" s="1490"/>
      <c r="H91" s="1490"/>
      <c r="I91" s="1490"/>
    </row>
    <row r="92" spans="1:15" ht="8.25" customHeight="1" x14ac:dyDescent="0.25">
      <c r="A92" s="1482"/>
      <c r="B92" s="1482"/>
      <c r="C92" s="1482"/>
      <c r="D92" s="1483"/>
      <c r="E92" s="1483"/>
      <c r="F92" s="1483"/>
      <c r="G92" s="1483"/>
      <c r="H92" s="1483"/>
      <c r="I92" s="1483"/>
    </row>
    <row r="93" spans="1:15" ht="12" customHeight="1" x14ac:dyDescent="0.25">
      <c r="A93" s="1267" t="s">
        <v>3750</v>
      </c>
      <c r="B93" s="1267"/>
      <c r="C93" s="1267"/>
      <c r="D93" s="1270">
        <f>IF(Input!E47="",50%,1-Input!E47)</f>
        <v>0.5</v>
      </c>
      <c r="E93" s="1483" t="s">
        <v>3751</v>
      </c>
      <c r="F93" s="1483"/>
      <c r="G93" s="1483"/>
      <c r="H93" s="1483"/>
      <c r="I93" s="1483"/>
    </row>
    <row r="94" spans="1:15" ht="11.4" customHeight="1" x14ac:dyDescent="0.25">
      <c r="A94" s="1267"/>
      <c r="B94" s="1267"/>
      <c r="C94" s="1267"/>
      <c r="D94" s="1268"/>
      <c r="E94" s="1268"/>
      <c r="F94" s="1268"/>
      <c r="G94" s="1268"/>
      <c r="H94" s="1268"/>
      <c r="I94" s="1268"/>
    </row>
    <row r="95" spans="1:15" x14ac:dyDescent="0.25">
      <c r="A95" s="1184" t="s">
        <v>3469</v>
      </c>
      <c r="B95" s="1184"/>
      <c r="C95" s="1178" t="str">
        <f>VLOOKUP(Input!K5,Input!L5:M7,2,FALSE)</f>
        <v>SE: Eintritt vor 50</v>
      </c>
      <c r="D95" s="1201"/>
      <c r="E95" s="1201"/>
      <c r="F95" s="1201"/>
      <c r="G95" s="1201"/>
      <c r="H95" s="1201"/>
    </row>
    <row r="96" spans="1:15" x14ac:dyDescent="0.25">
      <c r="A96" s="1184" t="s">
        <v>3618</v>
      </c>
      <c r="B96" s="1184"/>
      <c r="C96" s="1207" t="str">
        <f>'Ausweis-Certificat'!F9</f>
        <v>22011001</v>
      </c>
      <c r="D96" s="1201"/>
      <c r="E96" s="1201"/>
      <c r="F96" s="1201"/>
      <c r="G96" s="1201"/>
      <c r="H96" s="1201"/>
    </row>
    <row r="97" spans="1:9" x14ac:dyDescent="0.25">
      <c r="A97" s="1184" t="s">
        <v>1793</v>
      </c>
      <c r="B97" s="1184"/>
      <c r="C97" s="1208">
        <f>'Ausweis-Certificat'!E9</f>
        <v>423</v>
      </c>
      <c r="D97" s="1201"/>
      <c r="E97" s="1201"/>
      <c r="F97" s="1201"/>
      <c r="G97" s="1201"/>
      <c r="H97" s="1201"/>
    </row>
    <row r="98" spans="1:9" x14ac:dyDescent="0.25">
      <c r="A98" s="1184" t="s">
        <v>3471</v>
      </c>
      <c r="B98" s="1184"/>
      <c r="C98" s="1207">
        <f>Input!K32</f>
        <v>25</v>
      </c>
      <c r="D98" s="1201"/>
      <c r="E98" s="1201"/>
      <c r="F98" s="1201"/>
      <c r="G98" s="1201"/>
      <c r="H98" s="1201"/>
    </row>
    <row r="99" spans="1:9" x14ac:dyDescent="0.25">
      <c r="A99" s="1184" t="str">
        <f>IF(Wertebereich!B68=1,"","Rente AI")</f>
        <v>Rente AI</v>
      </c>
      <c r="B99" s="1184"/>
      <c r="C99" s="1207" t="str">
        <f>IF(Wertebereich!B68=1,"",CONCATENATE(VLOOKUP(Wertebereich!B68,Wertebereich!B70:C82,2,FALSE)*100,"%"))</f>
        <v>40%</v>
      </c>
      <c r="D99" s="1201"/>
      <c r="E99" s="1201"/>
      <c r="F99" s="1201"/>
      <c r="G99" s="1201"/>
      <c r="H99" s="1201"/>
    </row>
    <row r="100" spans="1:9" ht="20.399999999999999" customHeight="1" x14ac:dyDescent="0.25">
      <c r="A100" s="1184" t="str">
        <f>IF(Wertebereich!B44=1,"","Capital décès")</f>
        <v/>
      </c>
      <c r="B100" s="1184"/>
      <c r="C100" s="1207" t="str">
        <f>IF(Wertebereich!B44=1,"",IF(Wertebereich!B44=6,"Avoir de vieillesse",CONCATENATE(VLOOKUP(Wertebereich!B44,Wertebereich!B46:C49,2,FALSE)*100,"%")))</f>
        <v/>
      </c>
      <c r="D100" s="1201"/>
      <c r="E100" s="1201"/>
      <c r="F100" s="1201"/>
      <c r="G100" s="1201"/>
      <c r="H100" s="1201"/>
    </row>
    <row r="101" spans="1:9" x14ac:dyDescent="0.25">
      <c r="A101" s="1184" t="s">
        <v>3472</v>
      </c>
      <c r="B101" s="1184"/>
      <c r="C101" s="1207" t="str">
        <f>'Ausweis-Certificat'!J9</f>
        <v>102_</v>
      </c>
      <c r="D101" s="1201"/>
      <c r="E101" s="1201"/>
      <c r="F101" s="1201"/>
      <c r="G101" s="1201"/>
      <c r="H101" s="1201"/>
      <c r="I101" s="1219" t="s">
        <v>74</v>
      </c>
    </row>
    <row r="102" spans="1:9" ht="11.25" customHeight="1" x14ac:dyDescent="0.25">
      <c r="A102" s="1201"/>
      <c r="B102" s="1201"/>
      <c r="C102" s="1201"/>
      <c r="D102" s="1201"/>
      <c r="E102" s="1201"/>
      <c r="F102" s="1201"/>
      <c r="G102" s="1201"/>
      <c r="H102" s="1201"/>
      <c r="I102" s="1219"/>
    </row>
    <row r="103" spans="1:9" ht="12.75" customHeight="1" x14ac:dyDescent="0.25">
      <c r="A103" s="1215" t="s">
        <v>245</v>
      </c>
      <c r="B103" s="1484" t="s">
        <v>3619</v>
      </c>
      <c r="C103" s="1484"/>
      <c r="D103" s="1484"/>
      <c r="E103" s="1484"/>
      <c r="F103" s="1484"/>
      <c r="G103" s="1484"/>
      <c r="H103" s="1484"/>
      <c r="I103" s="1484"/>
    </row>
    <row r="104" spans="1:9" ht="6.75" customHeight="1" x14ac:dyDescent="0.25">
      <c r="A104" s="1485"/>
      <c r="B104" s="1486"/>
      <c r="C104" s="1486"/>
      <c r="D104" s="1486"/>
      <c r="E104" s="1486"/>
      <c r="F104" s="1486"/>
      <c r="G104" s="1486"/>
      <c r="H104" s="1486"/>
    </row>
    <row r="105" spans="1:9" ht="49.5" customHeight="1" x14ac:dyDescent="0.25">
      <c r="A105" s="1487" t="s">
        <v>3620</v>
      </c>
      <c r="B105" s="1487"/>
      <c r="C105" s="1487"/>
      <c r="D105" s="1487"/>
      <c r="E105" s="1487"/>
      <c r="F105" s="1487"/>
      <c r="G105" s="1487"/>
      <c r="H105" s="1487"/>
      <c r="I105" s="1487"/>
    </row>
    <row r="106" spans="1:9" ht="12.75" customHeight="1" x14ac:dyDescent="0.25">
      <c r="A106" s="1230"/>
      <c r="B106" s="1230"/>
      <c r="C106" s="1230"/>
      <c r="D106" s="1230"/>
      <c r="E106" s="1230"/>
      <c r="F106" s="1230"/>
      <c r="G106" s="1230"/>
      <c r="H106" s="1230"/>
      <c r="I106" s="1230"/>
    </row>
    <row r="107" spans="1:9" x14ac:dyDescent="0.25">
      <c r="A107" s="1201" t="s">
        <v>3621</v>
      </c>
      <c r="B107" s="1201"/>
      <c r="C107" s="1201"/>
      <c r="D107" s="1201"/>
      <c r="E107" s="1201"/>
      <c r="F107" s="1201" t="s">
        <v>3622</v>
      </c>
      <c r="G107" s="1201"/>
      <c r="H107" s="1201"/>
    </row>
    <row r="108" spans="1:9" ht="39" customHeight="1" x14ac:dyDescent="0.25">
      <c r="A108" s="1435" t="s">
        <v>47</v>
      </c>
      <c r="B108" s="1435"/>
      <c r="C108" s="1435"/>
      <c r="D108" s="1435"/>
      <c r="E108" s="1201"/>
      <c r="F108" s="1435" t="s">
        <v>32</v>
      </c>
      <c r="G108" s="1435"/>
      <c r="H108" s="1435"/>
      <c r="I108" s="1435"/>
    </row>
    <row r="109" spans="1:9" ht="3" customHeight="1" x14ac:dyDescent="0.25">
      <c r="A109" s="1201"/>
      <c r="B109" s="1201"/>
      <c r="C109" s="1201"/>
      <c r="D109" s="1201"/>
      <c r="E109" s="1201"/>
      <c r="F109" s="1201"/>
      <c r="G109" s="1201"/>
      <c r="H109" s="1201"/>
    </row>
    <row r="110" spans="1:9" x14ac:dyDescent="0.25">
      <c r="A110" s="1201" t="s">
        <v>3623</v>
      </c>
      <c r="B110" s="1201"/>
      <c r="C110" s="1201"/>
      <c r="D110" s="1201"/>
      <c r="E110" s="1201"/>
      <c r="F110" s="1201" t="s">
        <v>3624</v>
      </c>
      <c r="G110" s="1201"/>
      <c r="H110" s="1201"/>
    </row>
    <row r="111" spans="1:9" x14ac:dyDescent="0.25">
      <c r="A111" s="1201" t="s">
        <v>2783</v>
      </c>
      <c r="B111" s="1201"/>
      <c r="C111" s="1201"/>
      <c r="D111" s="1201"/>
      <c r="E111" s="1201"/>
      <c r="F111" s="1201" t="s">
        <v>2783</v>
      </c>
      <c r="G111" s="1201"/>
      <c r="H111" s="1201"/>
    </row>
    <row r="112" spans="1:9" ht="39" customHeight="1" x14ac:dyDescent="0.25">
      <c r="A112" s="1435" t="s">
        <v>47</v>
      </c>
      <c r="B112" s="1435"/>
      <c r="C112" s="1435"/>
      <c r="D112" s="1435"/>
      <c r="E112" s="1201"/>
      <c r="F112" s="1435" t="s">
        <v>32</v>
      </c>
      <c r="G112" s="1435"/>
      <c r="H112" s="1435"/>
      <c r="I112" s="1435"/>
    </row>
    <row r="113" spans="1:9" ht="11.25" customHeight="1" x14ac:dyDescent="0.25">
      <c r="A113" s="1201"/>
      <c r="B113" s="1201"/>
      <c r="C113" s="1201"/>
      <c r="D113" s="1201"/>
      <c r="E113" s="1201"/>
      <c r="F113" s="1201"/>
      <c r="G113" s="1201"/>
      <c r="H113" s="1201"/>
    </row>
    <row r="114" spans="1:9" x14ac:dyDescent="0.25">
      <c r="A114" s="1201" t="s">
        <v>3478</v>
      </c>
      <c r="B114" s="1201"/>
      <c r="C114" s="1201"/>
      <c r="D114" s="1201"/>
      <c r="E114" s="1201"/>
      <c r="F114" s="1201" t="s">
        <v>3478</v>
      </c>
      <c r="G114" s="1201"/>
      <c r="H114" s="1201"/>
    </row>
    <row r="115" spans="1:9" ht="39" customHeight="1" x14ac:dyDescent="0.25">
      <c r="A115" s="1480" t="s">
        <v>47</v>
      </c>
      <c r="B115" s="1480"/>
      <c r="C115" s="1480"/>
      <c r="D115" s="1480"/>
      <c r="E115" s="1201"/>
      <c r="F115" s="1480" t="s">
        <v>32</v>
      </c>
      <c r="G115" s="1480"/>
      <c r="H115" s="1480"/>
      <c r="I115" s="1480"/>
    </row>
    <row r="116" spans="1:9" s="1232" customFormat="1" x14ac:dyDescent="0.25">
      <c r="A116" s="1231"/>
      <c r="B116" s="1231"/>
      <c r="C116" s="1231"/>
      <c r="D116" s="1231"/>
      <c r="E116" s="1231"/>
      <c r="F116" s="1231"/>
      <c r="G116" s="1231"/>
      <c r="H116" s="1231"/>
    </row>
    <row r="117" spans="1:9" x14ac:dyDescent="0.25">
      <c r="A117" s="1201"/>
      <c r="B117" s="1201"/>
      <c r="C117" s="1201"/>
      <c r="D117" s="1201"/>
      <c r="E117" s="1201"/>
      <c r="F117" s="1201"/>
      <c r="G117" s="1201"/>
      <c r="H117" s="1201"/>
    </row>
    <row r="118" spans="1:9" x14ac:dyDescent="0.25">
      <c r="A118" s="1201"/>
      <c r="B118" s="1201"/>
      <c r="C118" s="1201"/>
      <c r="D118" s="1201"/>
      <c r="E118" s="1201"/>
      <c r="F118" s="1201"/>
      <c r="G118" s="1201"/>
      <c r="H118" s="1201"/>
    </row>
    <row r="119" spans="1:9" x14ac:dyDescent="0.25">
      <c r="A119" s="1201"/>
      <c r="B119" s="1201"/>
      <c r="C119" s="1201"/>
      <c r="D119" s="1201"/>
      <c r="E119" s="1201"/>
      <c r="F119" s="1201"/>
      <c r="G119" s="1201"/>
      <c r="H119" s="1201"/>
    </row>
    <row r="120" spans="1:9" x14ac:dyDescent="0.25">
      <c r="A120" s="1201"/>
      <c r="B120" s="1201"/>
      <c r="C120" s="1201"/>
      <c r="D120" s="1201"/>
      <c r="E120" s="1201"/>
      <c r="F120" s="1201"/>
      <c r="G120" s="1201"/>
      <c r="H120" s="1201"/>
    </row>
    <row r="121" spans="1:9" x14ac:dyDescent="0.25">
      <c r="A121" s="1201"/>
      <c r="B121" s="1201"/>
      <c r="C121" s="1201"/>
      <c r="D121" s="1201"/>
      <c r="E121" s="1201"/>
      <c r="F121" s="1201"/>
      <c r="G121" s="1201"/>
      <c r="H121" s="1201"/>
    </row>
    <row r="122" spans="1:9" x14ac:dyDescent="0.25">
      <c r="A122" s="1201"/>
      <c r="B122" s="1201"/>
      <c r="C122" s="1201"/>
      <c r="D122" s="1201"/>
      <c r="E122" s="1201"/>
      <c r="F122" s="1201"/>
      <c r="G122" s="1201"/>
      <c r="H122" s="1201"/>
    </row>
    <row r="123" spans="1:9" x14ac:dyDescent="0.25">
      <c r="A123" s="1201"/>
      <c r="B123" s="1201"/>
      <c r="C123" s="1201"/>
      <c r="D123" s="1201"/>
      <c r="E123" s="1201"/>
      <c r="F123" s="1201"/>
      <c r="G123" s="1201"/>
      <c r="H123" s="1201"/>
    </row>
    <row r="124" spans="1:9" x14ac:dyDescent="0.25">
      <c r="A124" s="1201"/>
      <c r="B124" s="1201"/>
      <c r="C124" s="1201"/>
      <c r="D124" s="1201"/>
      <c r="E124" s="1201"/>
      <c r="F124" s="1201"/>
      <c r="G124" s="1201"/>
      <c r="H124" s="1201"/>
    </row>
    <row r="125" spans="1:9" x14ac:dyDescent="0.25">
      <c r="A125" s="1201"/>
      <c r="B125" s="1201"/>
      <c r="C125" s="1201"/>
      <c r="D125" s="1201"/>
      <c r="E125" s="1201"/>
      <c r="F125" s="1201"/>
      <c r="G125" s="1201"/>
      <c r="H125" s="1201"/>
    </row>
    <row r="126" spans="1:9" x14ac:dyDescent="0.25">
      <c r="A126" s="1201"/>
      <c r="B126" s="1201"/>
      <c r="C126" s="1201"/>
      <c r="D126" s="1201"/>
      <c r="E126" s="1201"/>
      <c r="F126" s="1201"/>
      <c r="G126" s="1201"/>
      <c r="H126" s="1201"/>
    </row>
    <row r="127" spans="1:9" x14ac:dyDescent="0.25">
      <c r="A127" s="1201"/>
      <c r="B127" s="1201"/>
      <c r="C127" s="1201"/>
      <c r="D127" s="1201"/>
      <c r="E127" s="1201"/>
      <c r="F127" s="1201"/>
      <c r="G127" s="1201"/>
      <c r="H127" s="1201"/>
    </row>
    <row r="128" spans="1:9" x14ac:dyDescent="0.25">
      <c r="A128" s="1201"/>
      <c r="B128" s="1201"/>
      <c r="C128" s="1201"/>
      <c r="D128" s="1201"/>
      <c r="E128" s="1201"/>
      <c r="F128" s="1201"/>
      <c r="G128" s="1201"/>
      <c r="H128" s="1201"/>
    </row>
    <row r="129" spans="1:8" x14ac:dyDescent="0.25">
      <c r="A129" s="1201"/>
      <c r="B129" s="1201"/>
      <c r="C129" s="1201"/>
      <c r="D129" s="1201"/>
      <c r="E129" s="1201"/>
      <c r="F129" s="1201"/>
      <c r="G129" s="1201"/>
      <c r="H129" s="1201"/>
    </row>
    <row r="130" spans="1:8" x14ac:dyDescent="0.25">
      <c r="A130" s="1201"/>
      <c r="B130" s="1201"/>
      <c r="C130" s="1201"/>
      <c r="D130" s="1201"/>
      <c r="E130" s="1201"/>
      <c r="F130" s="1201"/>
      <c r="G130" s="1201"/>
      <c r="H130" s="1201"/>
    </row>
    <row r="131" spans="1:8" x14ac:dyDescent="0.25">
      <c r="A131" s="1201"/>
      <c r="B131" s="1201"/>
      <c r="C131" s="1201"/>
      <c r="D131" s="1201"/>
      <c r="E131" s="1201"/>
      <c r="F131" s="1201"/>
      <c r="G131" s="1201"/>
      <c r="H131" s="1201"/>
    </row>
    <row r="132" spans="1:8" x14ac:dyDescent="0.25">
      <c r="A132" s="1201"/>
      <c r="B132" s="1201"/>
      <c r="C132" s="1201"/>
      <c r="D132" s="1201"/>
      <c r="E132" s="1201"/>
      <c r="F132" s="1201"/>
      <c r="G132" s="1201"/>
      <c r="H132" s="1201"/>
    </row>
    <row r="133" spans="1:8" x14ac:dyDescent="0.25">
      <c r="A133" s="1201"/>
      <c r="B133" s="1201"/>
      <c r="C133" s="1201"/>
      <c r="D133" s="1201"/>
      <c r="E133" s="1201"/>
      <c r="F133" s="1201"/>
      <c r="G133" s="1201"/>
      <c r="H133" s="1201"/>
    </row>
    <row r="134" spans="1:8" x14ac:dyDescent="0.25">
      <c r="A134" s="1201"/>
      <c r="B134" s="1201"/>
      <c r="C134" s="1201"/>
      <c r="D134" s="1201"/>
      <c r="E134" s="1201"/>
      <c r="F134" s="1201"/>
      <c r="G134" s="1201"/>
      <c r="H134" s="1201"/>
    </row>
    <row r="135" spans="1:8" x14ac:dyDescent="0.25">
      <c r="A135" s="1201"/>
      <c r="B135" s="1201"/>
      <c r="C135" s="1201"/>
      <c r="D135" s="1201"/>
      <c r="E135" s="1201"/>
      <c r="F135" s="1201"/>
      <c r="G135" s="1201"/>
      <c r="H135" s="1201"/>
    </row>
    <row r="136" spans="1:8" x14ac:dyDescent="0.25">
      <c r="A136" s="1201"/>
      <c r="B136" s="1201"/>
      <c r="C136" s="1201"/>
      <c r="D136" s="1201"/>
      <c r="E136" s="1201"/>
      <c r="F136" s="1201"/>
      <c r="G136" s="1201"/>
      <c r="H136" s="1201"/>
    </row>
    <row r="137" spans="1:8" x14ac:dyDescent="0.25">
      <c r="A137" s="1201"/>
      <c r="B137" s="1201"/>
      <c r="C137" s="1201"/>
      <c r="D137" s="1201"/>
      <c r="E137" s="1201"/>
      <c r="F137" s="1201"/>
      <c r="G137" s="1201"/>
      <c r="H137" s="1201"/>
    </row>
    <row r="138" spans="1:8" x14ac:dyDescent="0.25">
      <c r="A138" s="1201"/>
      <c r="B138" s="1201"/>
      <c r="C138" s="1201"/>
      <c r="D138" s="1201"/>
      <c r="E138" s="1201"/>
      <c r="F138" s="1201"/>
      <c r="G138" s="1201"/>
      <c r="H138" s="1201"/>
    </row>
    <row r="139" spans="1:8" x14ac:dyDescent="0.25">
      <c r="A139" s="1201"/>
      <c r="B139" s="1201"/>
      <c r="C139" s="1201"/>
      <c r="D139" s="1201"/>
      <c r="E139" s="1201"/>
      <c r="F139" s="1201"/>
      <c r="G139" s="1201"/>
      <c r="H139" s="1201"/>
    </row>
    <row r="140" spans="1:8" x14ac:dyDescent="0.25">
      <c r="A140" s="1201"/>
      <c r="B140" s="1201"/>
      <c r="C140" s="1201"/>
      <c r="D140" s="1201"/>
      <c r="E140" s="1201"/>
      <c r="F140" s="1201"/>
      <c r="G140" s="1201"/>
      <c r="H140" s="1201"/>
    </row>
    <row r="141" spans="1:8" x14ac:dyDescent="0.25">
      <c r="A141" s="1201"/>
      <c r="B141" s="1201"/>
      <c r="C141" s="1201"/>
      <c r="D141" s="1201"/>
      <c r="E141" s="1201"/>
      <c r="F141" s="1201"/>
      <c r="G141" s="1201"/>
      <c r="H141" s="1201"/>
    </row>
    <row r="142" spans="1:8" x14ac:dyDescent="0.25">
      <c r="A142" s="1201"/>
      <c r="B142" s="1201"/>
      <c r="C142" s="1201"/>
      <c r="D142" s="1201"/>
      <c r="E142" s="1201"/>
      <c r="F142" s="1201"/>
      <c r="G142" s="1201"/>
      <c r="H142" s="1201"/>
    </row>
    <row r="143" spans="1:8" x14ac:dyDescent="0.25">
      <c r="A143" s="1201"/>
      <c r="B143" s="1201"/>
      <c r="C143" s="1201"/>
      <c r="D143" s="1201"/>
      <c r="E143" s="1201"/>
      <c r="F143" s="1201"/>
      <c r="G143" s="1201"/>
      <c r="H143" s="1201"/>
    </row>
    <row r="144" spans="1:8" x14ac:dyDescent="0.25">
      <c r="A144" s="1201"/>
      <c r="B144" s="1201"/>
      <c r="C144" s="1201"/>
      <c r="D144" s="1201"/>
      <c r="E144" s="1201"/>
      <c r="F144" s="1201"/>
      <c r="G144" s="1201"/>
      <c r="H144" s="1201"/>
    </row>
    <row r="145" spans="1:9" x14ac:dyDescent="0.25">
      <c r="A145" s="1201"/>
      <c r="B145" s="1201"/>
      <c r="C145" s="1201"/>
      <c r="D145" s="1201"/>
      <c r="E145" s="1201"/>
      <c r="F145" s="1201"/>
      <c r="G145" s="1201"/>
      <c r="H145" s="1201"/>
    </row>
    <row r="146" spans="1:9" x14ac:dyDescent="0.25">
      <c r="A146" s="1201"/>
      <c r="B146" s="1201"/>
      <c r="C146" s="1201"/>
      <c r="D146" s="1201"/>
      <c r="E146" s="1201"/>
      <c r="F146" s="1201"/>
      <c r="G146" s="1201"/>
      <c r="H146" s="1201"/>
    </row>
    <row r="147" spans="1:9" x14ac:dyDescent="0.25">
      <c r="A147" s="1201"/>
      <c r="B147" s="1201"/>
      <c r="C147" s="1201"/>
      <c r="D147" s="1201"/>
      <c r="E147" s="1201"/>
      <c r="F147" s="1201"/>
      <c r="G147" s="1201"/>
      <c r="H147" s="1201"/>
    </row>
    <row r="148" spans="1:9" x14ac:dyDescent="0.25">
      <c r="A148" s="1201"/>
      <c r="B148" s="1201"/>
      <c r="C148" s="1201"/>
      <c r="D148" s="1201"/>
      <c r="E148" s="1201"/>
      <c r="F148" s="1201"/>
      <c r="G148" s="1201"/>
      <c r="H148" s="1201"/>
    </row>
    <row r="149" spans="1:9" x14ac:dyDescent="0.25">
      <c r="A149" s="1201"/>
      <c r="B149" s="1201"/>
      <c r="C149" s="1201"/>
      <c r="D149" s="1201"/>
      <c r="E149" s="1201"/>
      <c r="F149" s="1201"/>
      <c r="G149" s="1201"/>
      <c r="H149" s="1201"/>
    </row>
    <row r="150" spans="1:9" x14ac:dyDescent="0.25">
      <c r="A150" s="1201"/>
      <c r="B150" s="1201"/>
      <c r="C150" s="1201"/>
      <c r="D150" s="1201"/>
      <c r="E150" s="1201"/>
      <c r="F150" s="1201"/>
      <c r="G150" s="1201"/>
      <c r="H150" s="1201"/>
    </row>
    <row r="151" spans="1:9" x14ac:dyDescent="0.25">
      <c r="A151" s="1201"/>
      <c r="B151" s="1201"/>
      <c r="C151" s="1201"/>
      <c r="D151" s="1201"/>
      <c r="E151" s="1201"/>
      <c r="F151" s="1201"/>
      <c r="G151" s="1201"/>
      <c r="H151" s="1201"/>
    </row>
    <row r="152" spans="1:9" x14ac:dyDescent="0.25">
      <c r="A152" s="1201"/>
      <c r="B152" s="1201"/>
      <c r="C152" s="1201"/>
      <c r="D152" s="1201"/>
      <c r="E152" s="1201"/>
      <c r="F152" s="1201"/>
      <c r="G152" s="1201"/>
      <c r="H152" s="1201"/>
    </row>
    <row r="153" spans="1:9" x14ac:dyDescent="0.25">
      <c r="A153" s="1201"/>
      <c r="B153" s="1201"/>
      <c r="C153" s="1201"/>
      <c r="D153" s="1201"/>
      <c r="E153" s="1201"/>
      <c r="F153" s="1201"/>
      <c r="G153" s="1201"/>
      <c r="H153" s="1201"/>
    </row>
    <row r="154" spans="1:9" x14ac:dyDescent="0.25">
      <c r="A154" s="1201"/>
      <c r="B154" s="1201"/>
      <c r="C154" s="1201"/>
      <c r="D154" s="1201"/>
      <c r="E154" s="1201"/>
      <c r="F154" s="1201"/>
      <c r="G154" s="1201"/>
      <c r="H154" s="1201"/>
    </row>
    <row r="155" spans="1:9" x14ac:dyDescent="0.25">
      <c r="A155" s="1201"/>
      <c r="B155" s="1201"/>
      <c r="C155" s="1201"/>
      <c r="D155" s="1201"/>
      <c r="E155" s="1201"/>
      <c r="F155" s="1201"/>
      <c r="G155" s="1201"/>
      <c r="H155" s="1201"/>
    </row>
    <row r="156" spans="1:9" x14ac:dyDescent="0.25">
      <c r="A156" s="1201"/>
      <c r="B156" s="1201"/>
      <c r="C156" s="1201"/>
      <c r="D156" s="1201"/>
      <c r="E156" s="1201"/>
      <c r="F156" s="1201"/>
      <c r="G156" s="1201"/>
      <c r="H156" s="1201"/>
    </row>
    <row r="157" spans="1:9" x14ac:dyDescent="0.25">
      <c r="A157" s="1201"/>
      <c r="B157" s="1201"/>
      <c r="C157" s="1201"/>
      <c r="D157" s="1201"/>
      <c r="E157" s="1201"/>
      <c r="F157" s="1201"/>
      <c r="G157" s="1201"/>
      <c r="H157" s="1201"/>
    </row>
    <row r="158" spans="1:9" ht="9" customHeight="1" x14ac:dyDescent="0.25">
      <c r="A158" s="1201"/>
      <c r="B158" s="1201"/>
      <c r="C158" s="1201"/>
      <c r="D158" s="1201"/>
      <c r="E158" s="1201"/>
      <c r="F158" s="1201"/>
      <c r="G158" s="1201"/>
      <c r="H158" s="1201"/>
      <c r="I158" s="1219" t="s">
        <v>75</v>
      </c>
    </row>
    <row r="159" spans="1:9" x14ac:dyDescent="0.25">
      <c r="A159" s="1201"/>
      <c r="B159" s="1201"/>
      <c r="C159" s="1201"/>
      <c r="D159" s="1201"/>
      <c r="E159" s="1201"/>
      <c r="F159" s="1201"/>
      <c r="G159" s="1201"/>
      <c r="H159" s="1201"/>
    </row>
    <row r="160" spans="1:9" x14ac:dyDescent="0.25">
      <c r="A160" s="1201"/>
      <c r="B160" s="1201"/>
      <c r="C160" s="1201"/>
      <c r="D160" s="1201"/>
      <c r="E160" s="1201"/>
      <c r="F160" s="1201"/>
      <c r="G160" s="1201"/>
      <c r="H160" s="1201"/>
    </row>
    <row r="161" spans="1:8" x14ac:dyDescent="0.25">
      <c r="A161" s="1201"/>
      <c r="B161" s="1201"/>
      <c r="C161" s="1201"/>
      <c r="D161" s="1201"/>
      <c r="E161" s="1201"/>
      <c r="F161" s="1201"/>
      <c r="G161" s="1201"/>
      <c r="H161" s="1201"/>
    </row>
    <row r="162" spans="1:8" x14ac:dyDescent="0.25">
      <c r="A162" s="1201"/>
      <c r="B162" s="1201"/>
      <c r="C162" s="1201"/>
      <c r="D162" s="1201"/>
      <c r="E162" s="1201"/>
      <c r="F162" s="1201"/>
      <c r="G162" s="1201"/>
      <c r="H162" s="1201"/>
    </row>
    <row r="163" spans="1:8" x14ac:dyDescent="0.25">
      <c r="A163" s="1201"/>
      <c r="B163" s="1201"/>
      <c r="C163" s="1201"/>
      <c r="D163" s="1201"/>
      <c r="E163" s="1201"/>
      <c r="F163" s="1201"/>
      <c r="G163" s="1201"/>
      <c r="H163" s="1201"/>
    </row>
    <row r="164" spans="1:8" x14ac:dyDescent="0.25">
      <c r="A164" s="1201"/>
      <c r="B164" s="1201"/>
      <c r="C164" s="1201"/>
      <c r="D164" s="1201"/>
      <c r="E164" s="1201"/>
      <c r="F164" s="1201"/>
      <c r="G164" s="1201"/>
      <c r="H164" s="1201"/>
    </row>
    <row r="165" spans="1:8" x14ac:dyDescent="0.25">
      <c r="A165" s="1201"/>
      <c r="B165" s="1201"/>
      <c r="C165" s="1201"/>
      <c r="D165" s="1201"/>
      <c r="E165" s="1201"/>
      <c r="F165" s="1201"/>
      <c r="G165" s="1201"/>
      <c r="H165" s="1201"/>
    </row>
    <row r="166" spans="1:8" x14ac:dyDescent="0.25">
      <c r="A166" s="1201"/>
      <c r="B166" s="1201"/>
      <c r="C166" s="1201"/>
      <c r="D166" s="1201"/>
      <c r="E166" s="1201"/>
      <c r="F166" s="1201"/>
      <c r="G166" s="1201"/>
      <c r="H166" s="1201"/>
    </row>
    <row r="167" spans="1:8" x14ac:dyDescent="0.25">
      <c r="A167" s="1201"/>
      <c r="B167" s="1201"/>
      <c r="C167" s="1201"/>
      <c r="D167" s="1201"/>
      <c r="E167" s="1201"/>
      <c r="F167" s="1201"/>
      <c r="G167" s="1201"/>
      <c r="H167" s="1201"/>
    </row>
    <row r="168" spans="1:8" x14ac:dyDescent="0.25">
      <c r="A168" s="1201"/>
      <c r="B168" s="1201"/>
      <c r="C168" s="1201"/>
      <c r="D168" s="1201"/>
      <c r="E168" s="1201"/>
      <c r="F168" s="1201"/>
      <c r="G168" s="1201"/>
      <c r="H168" s="1201"/>
    </row>
    <row r="169" spans="1:8" x14ac:dyDescent="0.25">
      <c r="A169" s="1201"/>
      <c r="B169" s="1201"/>
      <c r="C169" s="1201"/>
      <c r="D169" s="1201"/>
      <c r="E169" s="1201"/>
      <c r="F169" s="1201"/>
      <c r="G169" s="1201"/>
      <c r="H169" s="1201"/>
    </row>
    <row r="170" spans="1:8" x14ac:dyDescent="0.25">
      <c r="A170" s="1201"/>
      <c r="B170" s="1201"/>
      <c r="C170" s="1201"/>
      <c r="D170" s="1201"/>
      <c r="E170" s="1201"/>
      <c r="F170" s="1201"/>
      <c r="G170" s="1201"/>
      <c r="H170" s="1201"/>
    </row>
    <row r="171" spans="1:8" x14ac:dyDescent="0.25">
      <c r="A171" s="1201"/>
      <c r="B171" s="1201"/>
      <c r="C171" s="1201"/>
      <c r="D171" s="1201"/>
      <c r="E171" s="1201"/>
      <c r="F171" s="1201"/>
      <c r="G171" s="1201"/>
      <c r="H171" s="1201"/>
    </row>
    <row r="172" spans="1:8" x14ac:dyDescent="0.25">
      <c r="A172" s="1201"/>
      <c r="B172" s="1201"/>
      <c r="C172" s="1201"/>
      <c r="D172" s="1201"/>
      <c r="E172" s="1201"/>
      <c r="F172" s="1201"/>
      <c r="G172" s="1201"/>
      <c r="H172" s="1201"/>
    </row>
    <row r="173" spans="1:8" x14ac:dyDescent="0.25">
      <c r="A173" s="1201"/>
      <c r="B173" s="1201"/>
      <c r="C173" s="1201"/>
      <c r="D173" s="1201"/>
      <c r="E173" s="1201"/>
      <c r="F173" s="1201"/>
      <c r="G173" s="1201"/>
      <c r="H173" s="1201"/>
    </row>
    <row r="174" spans="1:8" x14ac:dyDescent="0.25">
      <c r="A174" s="1201"/>
      <c r="B174" s="1201"/>
      <c r="C174" s="1201"/>
      <c r="D174" s="1201"/>
      <c r="E174" s="1201"/>
      <c r="F174" s="1201"/>
      <c r="G174" s="1201"/>
      <c r="H174" s="1201"/>
    </row>
    <row r="175" spans="1:8" x14ac:dyDescent="0.25">
      <c r="A175" s="1201"/>
      <c r="B175" s="1201"/>
      <c r="C175" s="1201"/>
      <c r="D175" s="1201"/>
      <c r="E175" s="1201"/>
      <c r="F175" s="1201"/>
      <c r="G175" s="1201"/>
      <c r="H175" s="1201"/>
    </row>
    <row r="176" spans="1:8" x14ac:dyDescent="0.25">
      <c r="A176" s="1201"/>
      <c r="B176" s="1201"/>
      <c r="C176" s="1201"/>
      <c r="D176" s="1201"/>
      <c r="E176" s="1201"/>
      <c r="F176" s="1201"/>
      <c r="G176" s="1201"/>
      <c r="H176" s="1201"/>
    </row>
    <row r="177" spans="1:8" x14ac:dyDescent="0.25">
      <c r="A177" s="1201"/>
      <c r="B177" s="1201"/>
      <c r="C177" s="1201"/>
      <c r="D177" s="1201"/>
      <c r="E177" s="1201"/>
      <c r="F177" s="1201"/>
      <c r="G177" s="1201"/>
      <c r="H177" s="1201"/>
    </row>
    <row r="178" spans="1:8" x14ac:dyDescent="0.25">
      <c r="A178" s="1201"/>
      <c r="B178" s="1201"/>
      <c r="C178" s="1201"/>
      <c r="D178" s="1201"/>
      <c r="E178" s="1201"/>
      <c r="F178" s="1201"/>
      <c r="G178" s="1201"/>
      <c r="H178" s="1201"/>
    </row>
    <row r="179" spans="1:8" x14ac:dyDescent="0.25">
      <c r="A179" s="1201"/>
      <c r="B179" s="1201"/>
      <c r="C179" s="1201"/>
      <c r="D179" s="1201"/>
      <c r="E179" s="1201"/>
      <c r="F179" s="1201"/>
      <c r="G179" s="1201"/>
      <c r="H179" s="1201"/>
    </row>
    <row r="180" spans="1:8" x14ac:dyDescent="0.25">
      <c r="A180" s="1201"/>
      <c r="B180" s="1201"/>
      <c r="C180" s="1201"/>
      <c r="D180" s="1201"/>
      <c r="E180" s="1201"/>
      <c r="F180" s="1201"/>
      <c r="G180" s="1201"/>
      <c r="H180" s="1201"/>
    </row>
    <row r="181" spans="1:8" x14ac:dyDescent="0.25">
      <c r="A181" s="1201"/>
      <c r="B181" s="1201"/>
      <c r="C181" s="1201"/>
      <c r="D181" s="1201"/>
      <c r="E181" s="1201"/>
      <c r="F181" s="1201"/>
      <c r="G181" s="1201"/>
      <c r="H181" s="1201"/>
    </row>
    <row r="182" spans="1:8" x14ac:dyDescent="0.25">
      <c r="A182" s="1201"/>
      <c r="B182" s="1201"/>
      <c r="C182" s="1201"/>
      <c r="D182" s="1201"/>
      <c r="E182" s="1201"/>
      <c r="F182" s="1201"/>
      <c r="G182" s="1201"/>
      <c r="H182" s="1201"/>
    </row>
    <row r="183" spans="1:8" x14ac:dyDescent="0.25">
      <c r="A183" s="1201"/>
      <c r="B183" s="1201"/>
      <c r="C183" s="1201"/>
      <c r="D183" s="1201"/>
      <c r="E183" s="1201"/>
      <c r="F183" s="1201"/>
      <c r="G183" s="1201"/>
      <c r="H183" s="1201"/>
    </row>
    <row r="184" spans="1:8" x14ac:dyDescent="0.25">
      <c r="A184" s="1201"/>
      <c r="B184" s="1201"/>
      <c r="C184" s="1201"/>
      <c r="D184" s="1201"/>
      <c r="E184" s="1201"/>
      <c r="F184" s="1201"/>
      <c r="G184" s="1201"/>
      <c r="H184" s="1201"/>
    </row>
    <row r="185" spans="1:8" x14ac:dyDescent="0.25">
      <c r="A185" s="1201"/>
      <c r="B185" s="1201"/>
      <c r="C185" s="1201"/>
      <c r="D185" s="1201"/>
      <c r="E185" s="1201"/>
      <c r="F185" s="1201"/>
      <c r="G185" s="1201"/>
      <c r="H185" s="1201"/>
    </row>
    <row r="186" spans="1:8" x14ac:dyDescent="0.25">
      <c r="A186" s="1201"/>
      <c r="B186" s="1201"/>
      <c r="C186" s="1201"/>
      <c r="D186" s="1201"/>
      <c r="E186" s="1201"/>
      <c r="F186" s="1201"/>
      <c r="G186" s="1201"/>
      <c r="H186" s="1201"/>
    </row>
    <row r="187" spans="1:8" x14ac:dyDescent="0.25">
      <c r="A187" s="1201"/>
      <c r="B187" s="1201"/>
      <c r="C187" s="1201"/>
      <c r="D187" s="1201"/>
      <c r="E187" s="1201"/>
      <c r="F187" s="1201"/>
      <c r="G187" s="1201"/>
      <c r="H187" s="1201"/>
    </row>
    <row r="188" spans="1:8" x14ac:dyDescent="0.25">
      <c r="A188" s="1201"/>
      <c r="B188" s="1201"/>
      <c r="C188" s="1201"/>
      <c r="D188" s="1201"/>
      <c r="E188" s="1201"/>
      <c r="F188" s="1201"/>
      <c r="G188" s="1201"/>
      <c r="H188" s="1201"/>
    </row>
    <row r="189" spans="1:8" x14ac:dyDescent="0.25">
      <c r="A189" s="1201"/>
      <c r="B189" s="1201"/>
      <c r="C189" s="1201"/>
      <c r="D189" s="1201"/>
      <c r="E189" s="1201"/>
      <c r="F189" s="1201"/>
      <c r="G189" s="1201"/>
      <c r="H189" s="1201"/>
    </row>
    <row r="190" spans="1:8" x14ac:dyDescent="0.25">
      <c r="A190" s="1201"/>
      <c r="B190" s="1201"/>
      <c r="C190" s="1201"/>
      <c r="D190" s="1201"/>
      <c r="E190" s="1201"/>
      <c r="F190" s="1201"/>
      <c r="G190" s="1201"/>
      <c r="H190" s="1201"/>
    </row>
    <row r="191" spans="1:8" x14ac:dyDescent="0.25">
      <c r="A191" s="1201"/>
      <c r="B191" s="1201"/>
      <c r="C191" s="1201"/>
      <c r="D191" s="1201"/>
      <c r="E191" s="1201"/>
      <c r="F191" s="1201"/>
      <c r="G191" s="1201"/>
      <c r="H191" s="1201"/>
    </row>
    <row r="192" spans="1:8" x14ac:dyDescent="0.25">
      <c r="A192" s="1201"/>
      <c r="B192" s="1201"/>
      <c r="C192" s="1201"/>
      <c r="D192" s="1201"/>
      <c r="E192" s="1201"/>
      <c r="F192" s="1201"/>
      <c r="G192" s="1201"/>
      <c r="H192" s="1201"/>
    </row>
    <row r="193" spans="1:8" x14ac:dyDescent="0.25">
      <c r="A193" s="1201"/>
      <c r="B193" s="1201"/>
      <c r="C193" s="1201"/>
      <c r="D193" s="1201"/>
      <c r="E193" s="1201"/>
      <c r="F193" s="1201"/>
      <c r="G193" s="1201"/>
      <c r="H193" s="1201"/>
    </row>
    <row r="194" spans="1:8" x14ac:dyDescent="0.25">
      <c r="A194" s="1201"/>
      <c r="B194" s="1201"/>
      <c r="C194" s="1201"/>
      <c r="D194" s="1201"/>
      <c r="E194" s="1201"/>
      <c r="F194" s="1201"/>
      <c r="G194" s="1201"/>
      <c r="H194" s="1201"/>
    </row>
    <row r="195" spans="1:8" x14ac:dyDescent="0.25">
      <c r="A195" s="1201"/>
      <c r="B195" s="1201"/>
      <c r="C195" s="1201"/>
      <c r="D195" s="1201"/>
      <c r="E195" s="1201"/>
      <c r="F195" s="1201"/>
      <c r="G195" s="1201"/>
      <c r="H195" s="1201"/>
    </row>
    <row r="196" spans="1:8" x14ac:dyDescent="0.25">
      <c r="A196" s="1201"/>
      <c r="B196" s="1201"/>
      <c r="C196" s="1201"/>
      <c r="D196" s="1201"/>
      <c r="E196" s="1201"/>
      <c r="F196" s="1201"/>
      <c r="G196" s="1201"/>
      <c r="H196" s="1201"/>
    </row>
    <row r="197" spans="1:8" x14ac:dyDescent="0.25">
      <c r="A197" s="1201"/>
      <c r="B197" s="1201"/>
      <c r="C197" s="1201"/>
      <c r="D197" s="1201"/>
      <c r="E197" s="1201"/>
      <c r="F197" s="1201"/>
      <c r="G197" s="1201"/>
      <c r="H197" s="1201"/>
    </row>
    <row r="198" spans="1:8" x14ac:dyDescent="0.25">
      <c r="A198" s="1201"/>
      <c r="B198" s="1201"/>
      <c r="C198" s="1201"/>
      <c r="D198" s="1201"/>
      <c r="E198" s="1201"/>
      <c r="F198" s="1201"/>
      <c r="G198" s="1201"/>
      <c r="H198" s="1201"/>
    </row>
    <row r="199" spans="1:8" x14ac:dyDescent="0.25">
      <c r="A199" s="1201"/>
      <c r="B199" s="1201"/>
      <c r="C199" s="1201"/>
      <c r="D199" s="1201"/>
      <c r="E199" s="1201"/>
      <c r="F199" s="1201"/>
      <c r="G199" s="1201"/>
      <c r="H199" s="1201"/>
    </row>
    <row r="200" spans="1:8" x14ac:dyDescent="0.25">
      <c r="A200" s="1201"/>
      <c r="B200" s="1201"/>
      <c r="C200" s="1201"/>
      <c r="D200" s="1201"/>
      <c r="E200" s="1201"/>
      <c r="F200" s="1201"/>
      <c r="G200" s="1201"/>
      <c r="H200" s="1201"/>
    </row>
    <row r="201" spans="1:8" x14ac:dyDescent="0.25">
      <c r="A201" s="1201"/>
      <c r="B201" s="1201"/>
      <c r="C201" s="1201"/>
      <c r="D201" s="1201"/>
      <c r="E201" s="1201"/>
      <c r="F201" s="1201"/>
      <c r="G201" s="1201"/>
      <c r="H201" s="1201"/>
    </row>
    <row r="202" spans="1:8" x14ac:dyDescent="0.25">
      <c r="A202" s="1201"/>
      <c r="B202" s="1201"/>
      <c r="C202" s="1201"/>
      <c r="D202" s="1201"/>
      <c r="E202" s="1201"/>
      <c r="F202" s="1201"/>
      <c r="G202" s="1201"/>
      <c r="H202" s="1201"/>
    </row>
    <row r="203" spans="1:8" x14ac:dyDescent="0.25">
      <c r="A203" s="1201"/>
      <c r="B203" s="1201"/>
      <c r="C203" s="1201"/>
      <c r="D203" s="1201"/>
      <c r="E203" s="1201"/>
      <c r="F203" s="1201"/>
      <c r="G203" s="1201"/>
      <c r="H203" s="1201"/>
    </row>
    <row r="204" spans="1:8" x14ac:dyDescent="0.25">
      <c r="A204" s="1201"/>
      <c r="B204" s="1201"/>
      <c r="C204" s="1201"/>
      <c r="D204" s="1201"/>
      <c r="E204" s="1201"/>
      <c r="F204" s="1201"/>
      <c r="G204" s="1201"/>
      <c r="H204" s="1201"/>
    </row>
    <row r="205" spans="1:8" x14ac:dyDescent="0.25">
      <c r="A205" s="1201"/>
      <c r="B205" s="1201"/>
      <c r="C205" s="1201"/>
      <c r="D205" s="1201"/>
      <c r="E205" s="1201"/>
      <c r="F205" s="1201"/>
      <c r="G205" s="1201"/>
      <c r="H205" s="1201"/>
    </row>
    <row r="206" spans="1:8" x14ac:dyDescent="0.25">
      <c r="A206" s="1201"/>
      <c r="B206" s="1201"/>
      <c r="C206" s="1201"/>
      <c r="D206" s="1201"/>
      <c r="E206" s="1201"/>
      <c r="F206" s="1201"/>
      <c r="G206" s="1201"/>
      <c r="H206" s="1201"/>
    </row>
    <row r="207" spans="1:8" x14ac:dyDescent="0.25">
      <c r="A207" s="1201"/>
      <c r="B207" s="1201"/>
      <c r="C207" s="1201"/>
      <c r="D207" s="1201"/>
      <c r="E207" s="1201"/>
      <c r="F207" s="1201"/>
      <c r="G207" s="1201"/>
      <c r="H207" s="1201"/>
    </row>
    <row r="208" spans="1:8" x14ac:dyDescent="0.25">
      <c r="A208" s="1201"/>
      <c r="B208" s="1201"/>
      <c r="C208" s="1201"/>
      <c r="D208" s="1201"/>
      <c r="E208" s="1201"/>
      <c r="F208" s="1201"/>
      <c r="G208" s="1201"/>
      <c r="H208" s="1201"/>
    </row>
    <row r="209" spans="1:8" x14ac:dyDescent="0.25">
      <c r="A209" s="1201"/>
      <c r="B209" s="1201"/>
      <c r="C209" s="1201"/>
      <c r="D209" s="1201"/>
      <c r="E209" s="1201"/>
      <c r="F209" s="1201"/>
      <c r="G209" s="1201"/>
      <c r="H209" s="1201"/>
    </row>
    <row r="210" spans="1:8" x14ac:dyDescent="0.25">
      <c r="A210" s="1201"/>
      <c r="B210" s="1201"/>
      <c r="C210" s="1201"/>
      <c r="D210" s="1201"/>
      <c r="E210" s="1201"/>
      <c r="F210" s="1201"/>
      <c r="G210" s="1201"/>
      <c r="H210" s="1201"/>
    </row>
    <row r="211" spans="1:8" x14ac:dyDescent="0.25">
      <c r="A211" s="1201"/>
      <c r="B211" s="1201"/>
      <c r="C211" s="1201"/>
      <c r="D211" s="1201"/>
      <c r="E211" s="1201"/>
      <c r="F211" s="1201"/>
      <c r="G211" s="1201"/>
      <c r="H211" s="1201"/>
    </row>
    <row r="212" spans="1:8" x14ac:dyDescent="0.25">
      <c r="A212" s="1201"/>
      <c r="B212" s="1201"/>
      <c r="C212" s="1201"/>
      <c r="D212" s="1201"/>
      <c r="E212" s="1201"/>
      <c r="F212" s="1201"/>
      <c r="G212" s="1201"/>
      <c r="H212" s="1201"/>
    </row>
    <row r="213" spans="1:8" x14ac:dyDescent="0.25">
      <c r="A213" s="1201"/>
      <c r="B213" s="1201"/>
      <c r="C213" s="1201"/>
      <c r="D213" s="1201"/>
      <c r="E213" s="1201"/>
      <c r="F213" s="1201"/>
      <c r="G213" s="1201"/>
      <c r="H213" s="1201"/>
    </row>
    <row r="214" spans="1:8" x14ac:dyDescent="0.25">
      <c r="A214" s="1201"/>
      <c r="B214" s="1201"/>
      <c r="C214" s="1201"/>
      <c r="D214" s="1201"/>
      <c r="E214" s="1201"/>
      <c r="F214" s="1201"/>
      <c r="G214" s="1201"/>
      <c r="H214" s="1201"/>
    </row>
    <row r="215" spans="1:8" x14ac:dyDescent="0.25">
      <c r="A215" s="1201"/>
      <c r="B215" s="1201"/>
      <c r="C215" s="1201"/>
      <c r="D215" s="1201"/>
      <c r="E215" s="1201"/>
      <c r="F215" s="1201"/>
      <c r="G215" s="1201"/>
      <c r="H215" s="1201"/>
    </row>
    <row r="216" spans="1:8" x14ac:dyDescent="0.25">
      <c r="A216" s="1201"/>
      <c r="B216" s="1201"/>
      <c r="C216" s="1201"/>
      <c r="D216" s="1201"/>
      <c r="E216" s="1201"/>
      <c r="F216" s="1201"/>
      <c r="G216" s="1201"/>
      <c r="H216" s="1201"/>
    </row>
    <row r="217" spans="1:8" x14ac:dyDescent="0.25">
      <c r="A217" s="1201"/>
      <c r="B217" s="1201"/>
      <c r="C217" s="1201"/>
      <c r="D217" s="1201"/>
      <c r="E217" s="1201"/>
      <c r="F217" s="1201"/>
      <c r="G217" s="1201"/>
      <c r="H217" s="1201"/>
    </row>
    <row r="218" spans="1:8" x14ac:dyDescent="0.25">
      <c r="A218" s="1201"/>
      <c r="B218" s="1201"/>
      <c r="C218" s="1201"/>
      <c r="D218" s="1201"/>
      <c r="E218" s="1201"/>
      <c r="F218" s="1201"/>
      <c r="G218" s="1201"/>
      <c r="H218" s="1201"/>
    </row>
    <row r="219" spans="1:8" x14ac:dyDescent="0.25">
      <c r="A219" s="1201"/>
      <c r="B219" s="1201"/>
      <c r="C219" s="1201"/>
      <c r="D219" s="1201"/>
      <c r="E219" s="1201"/>
      <c r="F219" s="1201"/>
      <c r="G219" s="1201"/>
      <c r="H219" s="1201"/>
    </row>
    <row r="220" spans="1:8" x14ac:dyDescent="0.25">
      <c r="A220" s="1201"/>
      <c r="B220" s="1201"/>
      <c r="C220" s="1201"/>
      <c r="D220" s="1201"/>
      <c r="E220" s="1201"/>
      <c r="F220" s="1201"/>
      <c r="G220" s="1201"/>
      <c r="H220" s="1201"/>
    </row>
    <row r="221" spans="1:8" x14ac:dyDescent="0.25">
      <c r="A221" s="1201"/>
      <c r="B221" s="1201"/>
      <c r="C221" s="1201"/>
      <c r="D221" s="1201"/>
      <c r="E221" s="1201"/>
      <c r="F221" s="1201"/>
      <c r="G221" s="1201"/>
      <c r="H221" s="1201"/>
    </row>
    <row r="222" spans="1:8" x14ac:dyDescent="0.25">
      <c r="A222" s="1201"/>
      <c r="B222" s="1201"/>
      <c r="C222" s="1201"/>
      <c r="D222" s="1201"/>
      <c r="E222" s="1201"/>
      <c r="F222" s="1201"/>
      <c r="G222" s="1201"/>
      <c r="H222" s="1201"/>
    </row>
    <row r="223" spans="1:8" x14ac:dyDescent="0.25">
      <c r="A223" s="1201"/>
      <c r="B223" s="1201"/>
      <c r="C223" s="1201"/>
      <c r="D223" s="1201"/>
      <c r="E223" s="1201"/>
      <c r="F223" s="1201"/>
      <c r="G223" s="1201"/>
      <c r="H223" s="1201"/>
    </row>
    <row r="224" spans="1:8" x14ac:dyDescent="0.25">
      <c r="A224" s="1201"/>
      <c r="B224" s="1201"/>
      <c r="C224" s="1201"/>
      <c r="D224" s="1201"/>
      <c r="E224" s="1201"/>
      <c r="F224" s="1201"/>
      <c r="G224" s="1201"/>
      <c r="H224" s="1201"/>
    </row>
  </sheetData>
  <sheetProtection algorithmName="SHA-512" hashValue="7Qy4VRS+uf2bIGiifbfF+D1FskJBSrU04uQ01LB1U52PJpqogQ97ykk+gvr6T86emtmDpsPGqbFzZIX60eRArQ==" saltValue="y6mR9KHfTSyhriu31gGawQ==" spinCount="100000" sheet="1" objects="1" scenarios="1" selectLockedCells="1"/>
  <mergeCells count="126">
    <mergeCell ref="E93:I93"/>
    <mergeCell ref="A6:I6"/>
    <mergeCell ref="A7:H7"/>
    <mergeCell ref="B8:I8"/>
    <mergeCell ref="J8:P8"/>
    <mergeCell ref="R8:X8"/>
    <mergeCell ref="Z8:AF8"/>
    <mergeCell ref="IP8:IV8"/>
    <mergeCell ref="A9:H9"/>
    <mergeCell ref="A10:I10"/>
    <mergeCell ref="FV8:GB8"/>
    <mergeCell ref="GD8:GJ8"/>
    <mergeCell ref="GL8:GR8"/>
    <mergeCell ref="GT8:GZ8"/>
    <mergeCell ref="HB8:HH8"/>
    <mergeCell ref="HJ8:HP8"/>
    <mergeCell ref="DZ8:EF8"/>
    <mergeCell ref="EH8:EN8"/>
    <mergeCell ref="EP8:EV8"/>
    <mergeCell ref="EX8:FD8"/>
    <mergeCell ref="FF8:FL8"/>
    <mergeCell ref="FN8:FT8"/>
    <mergeCell ref="CD8:CJ8"/>
    <mergeCell ref="CL8:CR8"/>
    <mergeCell ref="CT8:CZ8"/>
    <mergeCell ref="A14:I14"/>
    <mergeCell ref="A15:H15"/>
    <mergeCell ref="B16:I16"/>
    <mergeCell ref="HR8:HX8"/>
    <mergeCell ref="HZ8:IF8"/>
    <mergeCell ref="IH8:IN8"/>
    <mergeCell ref="BF8:BL8"/>
    <mergeCell ref="BN8:BT8"/>
    <mergeCell ref="BV8:CB8"/>
    <mergeCell ref="DB8:DH8"/>
    <mergeCell ref="DJ8:DP8"/>
    <mergeCell ref="DR8:DX8"/>
    <mergeCell ref="AH8:AN8"/>
    <mergeCell ref="AP8:AV8"/>
    <mergeCell ref="AX8:BD8"/>
    <mergeCell ref="A11:H11"/>
    <mergeCell ref="B12:I12"/>
    <mergeCell ref="A13:H13"/>
    <mergeCell ref="A23:H23"/>
    <mergeCell ref="B24:I24"/>
    <mergeCell ref="A25:H25"/>
    <mergeCell ref="A26:I26"/>
    <mergeCell ref="A27:H27"/>
    <mergeCell ref="B28:I28"/>
    <mergeCell ref="A17:H17"/>
    <mergeCell ref="A18:I18"/>
    <mergeCell ref="A19:H19"/>
    <mergeCell ref="B20:I20"/>
    <mergeCell ref="A21:H21"/>
    <mergeCell ref="A22:I22"/>
    <mergeCell ref="A35:I35"/>
    <mergeCell ref="A36:I36"/>
    <mergeCell ref="A37:I37"/>
    <mergeCell ref="A39:I39"/>
    <mergeCell ref="A40:I40"/>
    <mergeCell ref="A41:I41"/>
    <mergeCell ref="A29:H29"/>
    <mergeCell ref="A30:I30"/>
    <mergeCell ref="A31:H31"/>
    <mergeCell ref="B32:I32"/>
    <mergeCell ref="A33:H33"/>
    <mergeCell ref="A34:I34"/>
    <mergeCell ref="A50:C50"/>
    <mergeCell ref="D50:I50"/>
    <mergeCell ref="A52:C52"/>
    <mergeCell ref="D52:I52"/>
    <mergeCell ref="A54:C54"/>
    <mergeCell ref="D54:I54"/>
    <mergeCell ref="B42:I42"/>
    <mergeCell ref="A43:H43"/>
    <mergeCell ref="A44:C44"/>
    <mergeCell ref="D44:I44"/>
    <mergeCell ref="A46:C46"/>
    <mergeCell ref="D46:I46"/>
    <mergeCell ref="A66:C66"/>
    <mergeCell ref="E66:G66"/>
    <mergeCell ref="H66:I66"/>
    <mergeCell ref="A67:C67"/>
    <mergeCell ref="E67:G67"/>
    <mergeCell ref="H67:I67"/>
    <mergeCell ref="B56:I56"/>
    <mergeCell ref="A57:H57"/>
    <mergeCell ref="H58:I58"/>
    <mergeCell ref="A63:I63"/>
    <mergeCell ref="A65:C65"/>
    <mergeCell ref="E65:G65"/>
    <mergeCell ref="H65:I65"/>
    <mergeCell ref="A73:C73"/>
    <mergeCell ref="D73:I73"/>
    <mergeCell ref="A75:C75"/>
    <mergeCell ref="D75:I75"/>
    <mergeCell ref="A68:C68"/>
    <mergeCell ref="E68:G68"/>
    <mergeCell ref="H68:I68"/>
    <mergeCell ref="A69:C69"/>
    <mergeCell ref="E69:G69"/>
    <mergeCell ref="H69:I69"/>
    <mergeCell ref="A112:D112"/>
    <mergeCell ref="F112:I112"/>
    <mergeCell ref="A115:D115"/>
    <mergeCell ref="F115:I115"/>
    <mergeCell ref="D48:I48"/>
    <mergeCell ref="A92:C92"/>
    <mergeCell ref="D92:I92"/>
    <mergeCell ref="B103:I103"/>
    <mergeCell ref="A104:H104"/>
    <mergeCell ref="A105:I105"/>
    <mergeCell ref="A108:D108"/>
    <mergeCell ref="F108:I108"/>
    <mergeCell ref="A85:I85"/>
    <mergeCell ref="A87:C87"/>
    <mergeCell ref="D87:I87"/>
    <mergeCell ref="A89:C89"/>
    <mergeCell ref="D89:I89"/>
    <mergeCell ref="A91:I91"/>
    <mergeCell ref="A77:C77"/>
    <mergeCell ref="D77:I77"/>
    <mergeCell ref="A81:C81"/>
    <mergeCell ref="D81:G81"/>
    <mergeCell ref="B83:I83"/>
    <mergeCell ref="A84:H84"/>
  </mergeCells>
  <pageMargins left="0.59055118110236227" right="0.39370078740157483" top="0.39370078740157483" bottom="0.19685039370078741" header="0.51181102362204722" footer="0.51181102362204722"/>
  <pageSetup paperSize="9" fitToHeight="3" orientation="portrait" r:id="rId1"/>
  <headerFooter alignWithMargins="0"/>
  <rowBreaks count="1" manualBreakCount="1">
    <brk id="10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fitToPage="1"/>
  </sheetPr>
  <dimension ref="A1:IV224"/>
  <sheetViews>
    <sheetView showGridLines="0" zoomScale="180" workbookViewId="0">
      <selection activeCell="D4" sqref="D4"/>
    </sheetView>
  </sheetViews>
  <sheetFormatPr baseColWidth="10" defaultRowHeight="13.2" x14ac:dyDescent="0.25"/>
  <cols>
    <col min="1" max="1" width="5.44140625" style="935" customWidth="1"/>
    <col min="2" max="2" width="11.44140625" style="935"/>
    <col min="3" max="3" width="11.5546875" style="935" customWidth="1"/>
    <col min="4" max="7" width="11.44140625" style="935"/>
    <col min="8" max="9" width="10.109375" style="935" customWidth="1"/>
    <col min="10" max="256" width="11.44140625" style="935"/>
    <col min="257" max="257" width="5.44140625" style="935" customWidth="1"/>
    <col min="258" max="258" width="11.44140625" style="935"/>
    <col min="259" max="259" width="11.5546875" style="935" customWidth="1"/>
    <col min="260" max="263" width="11.44140625" style="935"/>
    <col min="264" max="265" width="10.109375" style="935" customWidth="1"/>
    <col min="266" max="512" width="11.44140625" style="935"/>
    <col min="513" max="513" width="5.44140625" style="935" customWidth="1"/>
    <col min="514" max="514" width="11.44140625" style="935"/>
    <col min="515" max="515" width="11.5546875" style="935" customWidth="1"/>
    <col min="516" max="519" width="11.44140625" style="935"/>
    <col min="520" max="521" width="10.109375" style="935" customWidth="1"/>
    <col min="522" max="768" width="11.44140625" style="935"/>
    <col min="769" max="769" width="5.44140625" style="935" customWidth="1"/>
    <col min="770" max="770" width="11.44140625" style="935"/>
    <col min="771" max="771" width="11.5546875" style="935" customWidth="1"/>
    <col min="772" max="775" width="11.44140625" style="935"/>
    <col min="776" max="777" width="10.109375" style="935" customWidth="1"/>
    <col min="778" max="1024" width="11.44140625" style="935"/>
    <col min="1025" max="1025" width="5.44140625" style="935" customWidth="1"/>
    <col min="1026" max="1026" width="11.44140625" style="935"/>
    <col min="1027" max="1027" width="11.5546875" style="935" customWidth="1"/>
    <col min="1028" max="1031" width="11.44140625" style="935"/>
    <col min="1032" max="1033" width="10.109375" style="935" customWidth="1"/>
    <col min="1034" max="1280" width="11.44140625" style="935"/>
    <col min="1281" max="1281" width="5.44140625" style="935" customWidth="1"/>
    <col min="1282" max="1282" width="11.44140625" style="935"/>
    <col min="1283" max="1283" width="11.5546875" style="935" customWidth="1"/>
    <col min="1284" max="1287" width="11.44140625" style="935"/>
    <col min="1288" max="1289" width="10.109375" style="935" customWidth="1"/>
    <col min="1290" max="1536" width="11.44140625" style="935"/>
    <col min="1537" max="1537" width="5.44140625" style="935" customWidth="1"/>
    <col min="1538" max="1538" width="11.44140625" style="935"/>
    <col min="1539" max="1539" width="11.5546875" style="935" customWidth="1"/>
    <col min="1540" max="1543" width="11.44140625" style="935"/>
    <col min="1544" max="1545" width="10.109375" style="935" customWidth="1"/>
    <col min="1546" max="1792" width="11.44140625" style="935"/>
    <col min="1793" max="1793" width="5.44140625" style="935" customWidth="1"/>
    <col min="1794" max="1794" width="11.44140625" style="935"/>
    <col min="1795" max="1795" width="11.5546875" style="935" customWidth="1"/>
    <col min="1796" max="1799" width="11.44140625" style="935"/>
    <col min="1800" max="1801" width="10.109375" style="935" customWidth="1"/>
    <col min="1802" max="2048" width="11.44140625" style="935"/>
    <col min="2049" max="2049" width="5.44140625" style="935" customWidth="1"/>
    <col min="2050" max="2050" width="11.44140625" style="935"/>
    <col min="2051" max="2051" width="11.5546875" style="935" customWidth="1"/>
    <col min="2052" max="2055" width="11.44140625" style="935"/>
    <col min="2056" max="2057" width="10.109375" style="935" customWidth="1"/>
    <col min="2058" max="2304" width="11.44140625" style="935"/>
    <col min="2305" max="2305" width="5.44140625" style="935" customWidth="1"/>
    <col min="2306" max="2306" width="11.44140625" style="935"/>
    <col min="2307" max="2307" width="11.5546875" style="935" customWidth="1"/>
    <col min="2308" max="2311" width="11.44140625" style="935"/>
    <col min="2312" max="2313" width="10.109375" style="935" customWidth="1"/>
    <col min="2314" max="2560" width="11.44140625" style="935"/>
    <col min="2561" max="2561" width="5.44140625" style="935" customWidth="1"/>
    <col min="2562" max="2562" width="11.44140625" style="935"/>
    <col min="2563" max="2563" width="11.5546875" style="935" customWidth="1"/>
    <col min="2564" max="2567" width="11.44140625" style="935"/>
    <col min="2568" max="2569" width="10.109375" style="935" customWidth="1"/>
    <col min="2570" max="2816" width="11.44140625" style="935"/>
    <col min="2817" max="2817" width="5.44140625" style="935" customWidth="1"/>
    <col min="2818" max="2818" width="11.44140625" style="935"/>
    <col min="2819" max="2819" width="11.5546875" style="935" customWidth="1"/>
    <col min="2820" max="2823" width="11.44140625" style="935"/>
    <col min="2824" max="2825" width="10.109375" style="935" customWidth="1"/>
    <col min="2826" max="3072" width="11.44140625" style="935"/>
    <col min="3073" max="3073" width="5.44140625" style="935" customWidth="1"/>
    <col min="3074" max="3074" width="11.44140625" style="935"/>
    <col min="3075" max="3075" width="11.5546875" style="935" customWidth="1"/>
    <col min="3076" max="3079" width="11.44140625" style="935"/>
    <col min="3080" max="3081" width="10.109375" style="935" customWidth="1"/>
    <col min="3082" max="3328" width="11.44140625" style="935"/>
    <col min="3329" max="3329" width="5.44140625" style="935" customWidth="1"/>
    <col min="3330" max="3330" width="11.44140625" style="935"/>
    <col min="3331" max="3331" width="11.5546875" style="935" customWidth="1"/>
    <col min="3332" max="3335" width="11.44140625" style="935"/>
    <col min="3336" max="3337" width="10.109375" style="935" customWidth="1"/>
    <col min="3338" max="3584" width="11.44140625" style="935"/>
    <col min="3585" max="3585" width="5.44140625" style="935" customWidth="1"/>
    <col min="3586" max="3586" width="11.44140625" style="935"/>
    <col min="3587" max="3587" width="11.5546875" style="935" customWidth="1"/>
    <col min="3588" max="3591" width="11.44140625" style="935"/>
    <col min="3592" max="3593" width="10.109375" style="935" customWidth="1"/>
    <col min="3594" max="3840" width="11.44140625" style="935"/>
    <col min="3841" max="3841" width="5.44140625" style="935" customWidth="1"/>
    <col min="3842" max="3842" width="11.44140625" style="935"/>
    <col min="3843" max="3843" width="11.5546875" style="935" customWidth="1"/>
    <col min="3844" max="3847" width="11.44140625" style="935"/>
    <col min="3848" max="3849" width="10.109375" style="935" customWidth="1"/>
    <col min="3850" max="4096" width="11.44140625" style="935"/>
    <col min="4097" max="4097" width="5.44140625" style="935" customWidth="1"/>
    <col min="4098" max="4098" width="11.44140625" style="935"/>
    <col min="4099" max="4099" width="11.5546875" style="935" customWidth="1"/>
    <col min="4100" max="4103" width="11.44140625" style="935"/>
    <col min="4104" max="4105" width="10.109375" style="935" customWidth="1"/>
    <col min="4106" max="4352" width="11.44140625" style="935"/>
    <col min="4353" max="4353" width="5.44140625" style="935" customWidth="1"/>
    <col min="4354" max="4354" width="11.44140625" style="935"/>
    <col min="4355" max="4355" width="11.5546875" style="935" customWidth="1"/>
    <col min="4356" max="4359" width="11.44140625" style="935"/>
    <col min="4360" max="4361" width="10.109375" style="935" customWidth="1"/>
    <col min="4362" max="4608" width="11.44140625" style="935"/>
    <col min="4609" max="4609" width="5.44140625" style="935" customWidth="1"/>
    <col min="4610" max="4610" width="11.44140625" style="935"/>
    <col min="4611" max="4611" width="11.5546875" style="935" customWidth="1"/>
    <col min="4612" max="4615" width="11.44140625" style="935"/>
    <col min="4616" max="4617" width="10.109375" style="935" customWidth="1"/>
    <col min="4618" max="4864" width="11.44140625" style="935"/>
    <col min="4865" max="4865" width="5.44140625" style="935" customWidth="1"/>
    <col min="4866" max="4866" width="11.44140625" style="935"/>
    <col min="4867" max="4867" width="11.5546875" style="935" customWidth="1"/>
    <col min="4868" max="4871" width="11.44140625" style="935"/>
    <col min="4872" max="4873" width="10.109375" style="935" customWidth="1"/>
    <col min="4874" max="5120" width="11.44140625" style="935"/>
    <col min="5121" max="5121" width="5.44140625" style="935" customWidth="1"/>
    <col min="5122" max="5122" width="11.44140625" style="935"/>
    <col min="5123" max="5123" width="11.5546875" style="935" customWidth="1"/>
    <col min="5124" max="5127" width="11.44140625" style="935"/>
    <col min="5128" max="5129" width="10.109375" style="935" customWidth="1"/>
    <col min="5130" max="5376" width="11.44140625" style="935"/>
    <col min="5377" max="5377" width="5.44140625" style="935" customWidth="1"/>
    <col min="5378" max="5378" width="11.44140625" style="935"/>
    <col min="5379" max="5379" width="11.5546875" style="935" customWidth="1"/>
    <col min="5380" max="5383" width="11.44140625" style="935"/>
    <col min="5384" max="5385" width="10.109375" style="935" customWidth="1"/>
    <col min="5386" max="5632" width="11.44140625" style="935"/>
    <col min="5633" max="5633" width="5.44140625" style="935" customWidth="1"/>
    <col min="5634" max="5634" width="11.44140625" style="935"/>
    <col min="5635" max="5635" width="11.5546875" style="935" customWidth="1"/>
    <col min="5636" max="5639" width="11.44140625" style="935"/>
    <col min="5640" max="5641" width="10.109375" style="935" customWidth="1"/>
    <col min="5642" max="5888" width="11.44140625" style="935"/>
    <col min="5889" max="5889" width="5.44140625" style="935" customWidth="1"/>
    <col min="5890" max="5890" width="11.44140625" style="935"/>
    <col min="5891" max="5891" width="11.5546875" style="935" customWidth="1"/>
    <col min="5892" max="5895" width="11.44140625" style="935"/>
    <col min="5896" max="5897" width="10.109375" style="935" customWidth="1"/>
    <col min="5898" max="6144" width="11.44140625" style="935"/>
    <col min="6145" max="6145" width="5.44140625" style="935" customWidth="1"/>
    <col min="6146" max="6146" width="11.44140625" style="935"/>
    <col min="6147" max="6147" width="11.5546875" style="935" customWidth="1"/>
    <col min="6148" max="6151" width="11.44140625" style="935"/>
    <col min="6152" max="6153" width="10.109375" style="935" customWidth="1"/>
    <col min="6154" max="6400" width="11.44140625" style="935"/>
    <col min="6401" max="6401" width="5.44140625" style="935" customWidth="1"/>
    <col min="6402" max="6402" width="11.44140625" style="935"/>
    <col min="6403" max="6403" width="11.5546875" style="935" customWidth="1"/>
    <col min="6404" max="6407" width="11.44140625" style="935"/>
    <col min="6408" max="6409" width="10.109375" style="935" customWidth="1"/>
    <col min="6410" max="6656" width="11.44140625" style="935"/>
    <col min="6657" max="6657" width="5.44140625" style="935" customWidth="1"/>
    <col min="6658" max="6658" width="11.44140625" style="935"/>
    <col min="6659" max="6659" width="11.5546875" style="935" customWidth="1"/>
    <col min="6660" max="6663" width="11.44140625" style="935"/>
    <col min="6664" max="6665" width="10.109375" style="935" customWidth="1"/>
    <col min="6666" max="6912" width="11.44140625" style="935"/>
    <col min="6913" max="6913" width="5.44140625" style="935" customWidth="1"/>
    <col min="6914" max="6914" width="11.44140625" style="935"/>
    <col min="6915" max="6915" width="11.5546875" style="935" customWidth="1"/>
    <col min="6916" max="6919" width="11.44140625" style="935"/>
    <col min="6920" max="6921" width="10.109375" style="935" customWidth="1"/>
    <col min="6922" max="7168" width="11.44140625" style="935"/>
    <col min="7169" max="7169" width="5.44140625" style="935" customWidth="1"/>
    <col min="7170" max="7170" width="11.44140625" style="935"/>
    <col min="7171" max="7171" width="11.5546875" style="935" customWidth="1"/>
    <col min="7172" max="7175" width="11.44140625" style="935"/>
    <col min="7176" max="7177" width="10.109375" style="935" customWidth="1"/>
    <col min="7178" max="7424" width="11.44140625" style="935"/>
    <col min="7425" max="7425" width="5.44140625" style="935" customWidth="1"/>
    <col min="7426" max="7426" width="11.44140625" style="935"/>
    <col min="7427" max="7427" width="11.5546875" style="935" customWidth="1"/>
    <col min="7428" max="7431" width="11.44140625" style="935"/>
    <col min="7432" max="7433" width="10.109375" style="935" customWidth="1"/>
    <col min="7434" max="7680" width="11.44140625" style="935"/>
    <col min="7681" max="7681" width="5.44140625" style="935" customWidth="1"/>
    <col min="7682" max="7682" width="11.44140625" style="935"/>
    <col min="7683" max="7683" width="11.5546875" style="935" customWidth="1"/>
    <col min="7684" max="7687" width="11.44140625" style="935"/>
    <col min="7688" max="7689" width="10.109375" style="935" customWidth="1"/>
    <col min="7690" max="7936" width="11.44140625" style="935"/>
    <col min="7937" max="7937" width="5.44140625" style="935" customWidth="1"/>
    <col min="7938" max="7938" width="11.44140625" style="935"/>
    <col min="7939" max="7939" width="11.5546875" style="935" customWidth="1"/>
    <col min="7940" max="7943" width="11.44140625" style="935"/>
    <col min="7944" max="7945" width="10.109375" style="935" customWidth="1"/>
    <col min="7946" max="8192" width="11.44140625" style="935"/>
    <col min="8193" max="8193" width="5.44140625" style="935" customWidth="1"/>
    <col min="8194" max="8194" width="11.44140625" style="935"/>
    <col min="8195" max="8195" width="11.5546875" style="935" customWidth="1"/>
    <col min="8196" max="8199" width="11.44140625" style="935"/>
    <col min="8200" max="8201" width="10.109375" style="935" customWidth="1"/>
    <col min="8202" max="8448" width="11.44140625" style="935"/>
    <col min="8449" max="8449" width="5.44140625" style="935" customWidth="1"/>
    <col min="8450" max="8450" width="11.44140625" style="935"/>
    <col min="8451" max="8451" width="11.5546875" style="935" customWidth="1"/>
    <col min="8452" max="8455" width="11.44140625" style="935"/>
    <col min="8456" max="8457" width="10.109375" style="935" customWidth="1"/>
    <col min="8458" max="8704" width="11.44140625" style="935"/>
    <col min="8705" max="8705" width="5.44140625" style="935" customWidth="1"/>
    <col min="8706" max="8706" width="11.44140625" style="935"/>
    <col min="8707" max="8707" width="11.5546875" style="935" customWidth="1"/>
    <col min="8708" max="8711" width="11.44140625" style="935"/>
    <col min="8712" max="8713" width="10.109375" style="935" customWidth="1"/>
    <col min="8714" max="8960" width="11.44140625" style="935"/>
    <col min="8961" max="8961" width="5.44140625" style="935" customWidth="1"/>
    <col min="8962" max="8962" width="11.44140625" style="935"/>
    <col min="8963" max="8963" width="11.5546875" style="935" customWidth="1"/>
    <col min="8964" max="8967" width="11.44140625" style="935"/>
    <col min="8968" max="8969" width="10.109375" style="935" customWidth="1"/>
    <col min="8970" max="9216" width="11.44140625" style="935"/>
    <col min="9217" max="9217" width="5.44140625" style="935" customWidth="1"/>
    <col min="9218" max="9218" width="11.44140625" style="935"/>
    <col min="9219" max="9219" width="11.5546875" style="935" customWidth="1"/>
    <col min="9220" max="9223" width="11.44140625" style="935"/>
    <col min="9224" max="9225" width="10.109375" style="935" customWidth="1"/>
    <col min="9226" max="9472" width="11.44140625" style="935"/>
    <col min="9473" max="9473" width="5.44140625" style="935" customWidth="1"/>
    <col min="9474" max="9474" width="11.44140625" style="935"/>
    <col min="9475" max="9475" width="11.5546875" style="935" customWidth="1"/>
    <col min="9476" max="9479" width="11.44140625" style="935"/>
    <col min="9480" max="9481" width="10.109375" style="935" customWidth="1"/>
    <col min="9482" max="9728" width="11.44140625" style="935"/>
    <col min="9729" max="9729" width="5.44140625" style="935" customWidth="1"/>
    <col min="9730" max="9730" width="11.44140625" style="935"/>
    <col min="9731" max="9731" width="11.5546875" style="935" customWidth="1"/>
    <col min="9732" max="9735" width="11.44140625" style="935"/>
    <col min="9736" max="9737" width="10.109375" style="935" customWidth="1"/>
    <col min="9738" max="9984" width="11.44140625" style="935"/>
    <col min="9985" max="9985" width="5.44140625" style="935" customWidth="1"/>
    <col min="9986" max="9986" width="11.44140625" style="935"/>
    <col min="9987" max="9987" width="11.5546875" style="935" customWidth="1"/>
    <col min="9988" max="9991" width="11.44140625" style="935"/>
    <col min="9992" max="9993" width="10.109375" style="935" customWidth="1"/>
    <col min="9994" max="10240" width="11.44140625" style="935"/>
    <col min="10241" max="10241" width="5.44140625" style="935" customWidth="1"/>
    <col min="10242" max="10242" width="11.44140625" style="935"/>
    <col min="10243" max="10243" width="11.5546875" style="935" customWidth="1"/>
    <col min="10244" max="10247" width="11.44140625" style="935"/>
    <col min="10248" max="10249" width="10.109375" style="935" customWidth="1"/>
    <col min="10250" max="10496" width="11.44140625" style="935"/>
    <col min="10497" max="10497" width="5.44140625" style="935" customWidth="1"/>
    <col min="10498" max="10498" width="11.44140625" style="935"/>
    <col min="10499" max="10499" width="11.5546875" style="935" customWidth="1"/>
    <col min="10500" max="10503" width="11.44140625" style="935"/>
    <col min="10504" max="10505" width="10.109375" style="935" customWidth="1"/>
    <col min="10506" max="10752" width="11.44140625" style="935"/>
    <col min="10753" max="10753" width="5.44140625" style="935" customWidth="1"/>
    <col min="10754" max="10754" width="11.44140625" style="935"/>
    <col min="10755" max="10755" width="11.5546875" style="935" customWidth="1"/>
    <col min="10756" max="10759" width="11.44140625" style="935"/>
    <col min="10760" max="10761" width="10.109375" style="935" customWidth="1"/>
    <col min="10762" max="11008" width="11.44140625" style="935"/>
    <col min="11009" max="11009" width="5.44140625" style="935" customWidth="1"/>
    <col min="11010" max="11010" width="11.44140625" style="935"/>
    <col min="11011" max="11011" width="11.5546875" style="935" customWidth="1"/>
    <col min="11012" max="11015" width="11.44140625" style="935"/>
    <col min="11016" max="11017" width="10.109375" style="935" customWidth="1"/>
    <col min="11018" max="11264" width="11.44140625" style="935"/>
    <col min="11265" max="11265" width="5.44140625" style="935" customWidth="1"/>
    <col min="11266" max="11266" width="11.44140625" style="935"/>
    <col min="11267" max="11267" width="11.5546875" style="935" customWidth="1"/>
    <col min="11268" max="11271" width="11.44140625" style="935"/>
    <col min="11272" max="11273" width="10.109375" style="935" customWidth="1"/>
    <col min="11274" max="11520" width="11.44140625" style="935"/>
    <col min="11521" max="11521" width="5.44140625" style="935" customWidth="1"/>
    <col min="11522" max="11522" width="11.44140625" style="935"/>
    <col min="11523" max="11523" width="11.5546875" style="935" customWidth="1"/>
    <col min="11524" max="11527" width="11.44140625" style="935"/>
    <col min="11528" max="11529" width="10.109375" style="935" customWidth="1"/>
    <col min="11530" max="11776" width="11.44140625" style="935"/>
    <col min="11777" max="11777" width="5.44140625" style="935" customWidth="1"/>
    <col min="11778" max="11778" width="11.44140625" style="935"/>
    <col min="11779" max="11779" width="11.5546875" style="935" customWidth="1"/>
    <col min="11780" max="11783" width="11.44140625" style="935"/>
    <col min="11784" max="11785" width="10.109375" style="935" customWidth="1"/>
    <col min="11786" max="12032" width="11.44140625" style="935"/>
    <col min="12033" max="12033" width="5.44140625" style="935" customWidth="1"/>
    <col min="12034" max="12034" width="11.44140625" style="935"/>
    <col min="12035" max="12035" width="11.5546875" style="935" customWidth="1"/>
    <col min="12036" max="12039" width="11.44140625" style="935"/>
    <col min="12040" max="12041" width="10.109375" style="935" customWidth="1"/>
    <col min="12042" max="12288" width="11.44140625" style="935"/>
    <col min="12289" max="12289" width="5.44140625" style="935" customWidth="1"/>
    <col min="12290" max="12290" width="11.44140625" style="935"/>
    <col min="12291" max="12291" width="11.5546875" style="935" customWidth="1"/>
    <col min="12292" max="12295" width="11.44140625" style="935"/>
    <col min="12296" max="12297" width="10.109375" style="935" customWidth="1"/>
    <col min="12298" max="12544" width="11.44140625" style="935"/>
    <col min="12545" max="12545" width="5.44140625" style="935" customWidth="1"/>
    <col min="12546" max="12546" width="11.44140625" style="935"/>
    <col min="12547" max="12547" width="11.5546875" style="935" customWidth="1"/>
    <col min="12548" max="12551" width="11.44140625" style="935"/>
    <col min="12552" max="12553" width="10.109375" style="935" customWidth="1"/>
    <col min="12554" max="12800" width="11.44140625" style="935"/>
    <col min="12801" max="12801" width="5.44140625" style="935" customWidth="1"/>
    <col min="12802" max="12802" width="11.44140625" style="935"/>
    <col min="12803" max="12803" width="11.5546875" style="935" customWidth="1"/>
    <col min="12804" max="12807" width="11.44140625" style="935"/>
    <col min="12808" max="12809" width="10.109375" style="935" customWidth="1"/>
    <col min="12810" max="13056" width="11.44140625" style="935"/>
    <col min="13057" max="13057" width="5.44140625" style="935" customWidth="1"/>
    <col min="13058" max="13058" width="11.44140625" style="935"/>
    <col min="13059" max="13059" width="11.5546875" style="935" customWidth="1"/>
    <col min="13060" max="13063" width="11.44140625" style="935"/>
    <col min="13064" max="13065" width="10.109375" style="935" customWidth="1"/>
    <col min="13066" max="13312" width="11.44140625" style="935"/>
    <col min="13313" max="13313" width="5.44140625" style="935" customWidth="1"/>
    <col min="13314" max="13314" width="11.44140625" style="935"/>
    <col min="13315" max="13315" width="11.5546875" style="935" customWidth="1"/>
    <col min="13316" max="13319" width="11.44140625" style="935"/>
    <col min="13320" max="13321" width="10.109375" style="935" customWidth="1"/>
    <col min="13322" max="13568" width="11.44140625" style="935"/>
    <col min="13569" max="13569" width="5.44140625" style="935" customWidth="1"/>
    <col min="13570" max="13570" width="11.44140625" style="935"/>
    <col min="13571" max="13571" width="11.5546875" style="935" customWidth="1"/>
    <col min="13572" max="13575" width="11.44140625" style="935"/>
    <col min="13576" max="13577" width="10.109375" style="935" customWidth="1"/>
    <col min="13578" max="13824" width="11.44140625" style="935"/>
    <col min="13825" max="13825" width="5.44140625" style="935" customWidth="1"/>
    <col min="13826" max="13826" width="11.44140625" style="935"/>
    <col min="13827" max="13827" width="11.5546875" style="935" customWidth="1"/>
    <col min="13828" max="13831" width="11.44140625" style="935"/>
    <col min="13832" max="13833" width="10.109375" style="935" customWidth="1"/>
    <col min="13834" max="14080" width="11.44140625" style="935"/>
    <col min="14081" max="14081" width="5.44140625" style="935" customWidth="1"/>
    <col min="14082" max="14082" width="11.44140625" style="935"/>
    <col min="14083" max="14083" width="11.5546875" style="935" customWidth="1"/>
    <col min="14084" max="14087" width="11.44140625" style="935"/>
    <col min="14088" max="14089" width="10.109375" style="935" customWidth="1"/>
    <col min="14090" max="14336" width="11.44140625" style="935"/>
    <col min="14337" max="14337" width="5.44140625" style="935" customWidth="1"/>
    <col min="14338" max="14338" width="11.44140625" style="935"/>
    <col min="14339" max="14339" width="11.5546875" style="935" customWidth="1"/>
    <col min="14340" max="14343" width="11.44140625" style="935"/>
    <col min="14344" max="14345" width="10.109375" style="935" customWidth="1"/>
    <col min="14346" max="14592" width="11.44140625" style="935"/>
    <col min="14593" max="14593" width="5.44140625" style="935" customWidth="1"/>
    <col min="14594" max="14594" width="11.44140625" style="935"/>
    <col min="14595" max="14595" width="11.5546875" style="935" customWidth="1"/>
    <col min="14596" max="14599" width="11.44140625" style="935"/>
    <col min="14600" max="14601" width="10.109375" style="935" customWidth="1"/>
    <col min="14602" max="14848" width="11.44140625" style="935"/>
    <col min="14849" max="14849" width="5.44140625" style="935" customWidth="1"/>
    <col min="14850" max="14850" width="11.44140625" style="935"/>
    <col min="14851" max="14851" width="11.5546875" style="935" customWidth="1"/>
    <col min="14852" max="14855" width="11.44140625" style="935"/>
    <col min="14856" max="14857" width="10.109375" style="935" customWidth="1"/>
    <col min="14858" max="15104" width="11.44140625" style="935"/>
    <col min="15105" max="15105" width="5.44140625" style="935" customWidth="1"/>
    <col min="15106" max="15106" width="11.44140625" style="935"/>
    <col min="15107" max="15107" width="11.5546875" style="935" customWidth="1"/>
    <col min="15108" max="15111" width="11.44140625" style="935"/>
    <col min="15112" max="15113" width="10.109375" style="935" customWidth="1"/>
    <col min="15114" max="15360" width="11.44140625" style="935"/>
    <col min="15361" max="15361" width="5.44140625" style="935" customWidth="1"/>
    <col min="15362" max="15362" width="11.44140625" style="935"/>
    <col min="15363" max="15363" width="11.5546875" style="935" customWidth="1"/>
    <col min="15364" max="15367" width="11.44140625" style="935"/>
    <col min="15368" max="15369" width="10.109375" style="935" customWidth="1"/>
    <col min="15370" max="15616" width="11.44140625" style="935"/>
    <col min="15617" max="15617" width="5.44140625" style="935" customWidth="1"/>
    <col min="15618" max="15618" width="11.44140625" style="935"/>
    <col min="15619" max="15619" width="11.5546875" style="935" customWidth="1"/>
    <col min="15620" max="15623" width="11.44140625" style="935"/>
    <col min="15624" max="15625" width="10.109375" style="935" customWidth="1"/>
    <col min="15626" max="15872" width="11.44140625" style="935"/>
    <col min="15873" max="15873" width="5.44140625" style="935" customWidth="1"/>
    <col min="15874" max="15874" width="11.44140625" style="935"/>
    <col min="15875" max="15875" width="11.5546875" style="935" customWidth="1"/>
    <col min="15876" max="15879" width="11.44140625" style="935"/>
    <col min="15880" max="15881" width="10.109375" style="935" customWidth="1"/>
    <col min="15882" max="16128" width="11.44140625" style="935"/>
    <col min="16129" max="16129" width="5.44140625" style="935" customWidth="1"/>
    <col min="16130" max="16130" width="11.44140625" style="935"/>
    <col min="16131" max="16131" width="11.5546875" style="935" customWidth="1"/>
    <col min="16132" max="16135" width="11.44140625" style="935"/>
    <col min="16136" max="16137" width="10.109375" style="935" customWidth="1"/>
    <col min="16138" max="16384" width="11.44140625" style="935"/>
  </cols>
  <sheetData>
    <row r="1" spans="1:256" x14ac:dyDescent="0.25">
      <c r="A1" s="1211" t="str">
        <f>IF(J4&lt;&gt;1,"SI PREGA DI COMPILARE IL FOGLIO 'INDIPENDENTI'!","Dal foglio 'Input' vengono inseriti : Decorrenza dell'affiliazione e indicazioni del piano.")</f>
        <v>SI PREGA DI COMPILARE IL FOGLIO 'INDIPENDENTI'!</v>
      </c>
    </row>
    <row r="2" spans="1:256" x14ac:dyDescent="0.25">
      <c r="A2" s="1211"/>
    </row>
    <row r="4" spans="1:256" x14ac:dyDescent="0.25">
      <c r="A4" s="1212" t="s">
        <v>3554</v>
      </c>
      <c r="D4" s="1213" t="s">
        <v>78</v>
      </c>
      <c r="J4" s="1214">
        <f>Input!K5</f>
        <v>2</v>
      </c>
    </row>
    <row r="5" spans="1:256" ht="37.5" customHeight="1" x14ac:dyDescent="0.25"/>
    <row r="6" spans="1:256" ht="19.5" customHeight="1" x14ac:dyDescent="0.25">
      <c r="A6" s="1505" t="s">
        <v>3555</v>
      </c>
      <c r="B6" s="1505"/>
      <c r="C6" s="1505"/>
      <c r="D6" s="1505"/>
      <c r="E6" s="1505"/>
      <c r="F6" s="1505"/>
      <c r="G6" s="1505"/>
      <c r="H6" s="1505"/>
      <c r="I6" s="1505"/>
    </row>
    <row r="7" spans="1:256" x14ac:dyDescent="0.25">
      <c r="A7" s="1504"/>
      <c r="B7" s="1504"/>
      <c r="C7" s="1504"/>
      <c r="D7" s="1504"/>
      <c r="E7" s="1504"/>
      <c r="F7" s="1504"/>
      <c r="G7" s="1504"/>
      <c r="H7" s="1504"/>
    </row>
    <row r="8" spans="1:256" ht="12.75" customHeight="1" x14ac:dyDescent="0.25">
      <c r="A8" s="1215" t="s">
        <v>1140</v>
      </c>
      <c r="B8" s="1484" t="s">
        <v>3481</v>
      </c>
      <c r="C8" s="1484"/>
      <c r="D8" s="1484"/>
      <c r="E8" s="1484"/>
      <c r="F8" s="1484"/>
      <c r="G8" s="1484"/>
      <c r="H8" s="1484"/>
      <c r="I8" s="1484"/>
      <c r="J8" s="1503"/>
      <c r="K8" s="1503"/>
      <c r="L8" s="1503"/>
      <c r="M8" s="1503"/>
      <c r="N8" s="1503"/>
      <c r="O8" s="1503"/>
      <c r="P8" s="1503"/>
      <c r="Q8" s="1216"/>
      <c r="R8" s="1503"/>
      <c r="S8" s="1503"/>
      <c r="T8" s="1503"/>
      <c r="U8" s="1503"/>
      <c r="V8" s="1503"/>
      <c r="W8" s="1503"/>
      <c r="X8" s="1503"/>
      <c r="Y8" s="1216"/>
      <c r="Z8" s="1503"/>
      <c r="AA8" s="1503"/>
      <c r="AB8" s="1503"/>
      <c r="AC8" s="1503"/>
      <c r="AD8" s="1503"/>
      <c r="AE8" s="1503"/>
      <c r="AF8" s="1503"/>
      <c r="AG8" s="1216"/>
      <c r="AH8" s="1503"/>
      <c r="AI8" s="1503"/>
      <c r="AJ8" s="1503"/>
      <c r="AK8" s="1503"/>
      <c r="AL8" s="1503"/>
      <c r="AM8" s="1503"/>
      <c r="AN8" s="1503"/>
      <c r="AO8" s="1216"/>
      <c r="AP8" s="1503"/>
      <c r="AQ8" s="1503"/>
      <c r="AR8" s="1503"/>
      <c r="AS8" s="1503"/>
      <c r="AT8" s="1503"/>
      <c r="AU8" s="1503"/>
      <c r="AV8" s="1503"/>
      <c r="AW8" s="1216"/>
      <c r="AX8" s="1503"/>
      <c r="AY8" s="1503"/>
      <c r="AZ8" s="1503"/>
      <c r="BA8" s="1503"/>
      <c r="BB8" s="1503"/>
      <c r="BC8" s="1503"/>
      <c r="BD8" s="1503"/>
      <c r="BE8" s="1216"/>
      <c r="BF8" s="1503"/>
      <c r="BG8" s="1503"/>
      <c r="BH8" s="1503"/>
      <c r="BI8" s="1503"/>
      <c r="BJ8" s="1503"/>
      <c r="BK8" s="1503"/>
      <c r="BL8" s="1503"/>
      <c r="BM8" s="1216"/>
      <c r="BN8" s="1503"/>
      <c r="BO8" s="1503"/>
      <c r="BP8" s="1503"/>
      <c r="BQ8" s="1503"/>
      <c r="BR8" s="1503"/>
      <c r="BS8" s="1503"/>
      <c r="BT8" s="1503"/>
      <c r="BU8" s="1216"/>
      <c r="BV8" s="1503"/>
      <c r="BW8" s="1503"/>
      <c r="BX8" s="1503"/>
      <c r="BY8" s="1503"/>
      <c r="BZ8" s="1503"/>
      <c r="CA8" s="1503"/>
      <c r="CB8" s="1503"/>
      <c r="CC8" s="1216"/>
      <c r="CD8" s="1503"/>
      <c r="CE8" s="1503"/>
      <c r="CF8" s="1503"/>
      <c r="CG8" s="1503"/>
      <c r="CH8" s="1503"/>
      <c r="CI8" s="1503"/>
      <c r="CJ8" s="1503"/>
      <c r="CK8" s="1216"/>
      <c r="CL8" s="1503"/>
      <c r="CM8" s="1503"/>
      <c r="CN8" s="1503"/>
      <c r="CO8" s="1503"/>
      <c r="CP8" s="1503"/>
      <c r="CQ8" s="1503"/>
      <c r="CR8" s="1503"/>
      <c r="CS8" s="1216"/>
      <c r="CT8" s="1503"/>
      <c r="CU8" s="1503"/>
      <c r="CV8" s="1503"/>
      <c r="CW8" s="1503"/>
      <c r="CX8" s="1503"/>
      <c r="CY8" s="1503"/>
      <c r="CZ8" s="1503"/>
      <c r="DA8" s="1216"/>
      <c r="DB8" s="1503"/>
      <c r="DC8" s="1503"/>
      <c r="DD8" s="1503"/>
      <c r="DE8" s="1503"/>
      <c r="DF8" s="1503"/>
      <c r="DG8" s="1503"/>
      <c r="DH8" s="1503"/>
      <c r="DI8" s="1216"/>
      <c r="DJ8" s="1503"/>
      <c r="DK8" s="1503"/>
      <c r="DL8" s="1503"/>
      <c r="DM8" s="1503"/>
      <c r="DN8" s="1503"/>
      <c r="DO8" s="1503"/>
      <c r="DP8" s="1503"/>
      <c r="DQ8" s="1216"/>
      <c r="DR8" s="1503"/>
      <c r="DS8" s="1503"/>
      <c r="DT8" s="1503"/>
      <c r="DU8" s="1503"/>
      <c r="DV8" s="1503"/>
      <c r="DW8" s="1503"/>
      <c r="DX8" s="1503"/>
      <c r="DY8" s="1216"/>
      <c r="DZ8" s="1503"/>
      <c r="EA8" s="1503"/>
      <c r="EB8" s="1503"/>
      <c r="EC8" s="1503"/>
      <c r="ED8" s="1503"/>
      <c r="EE8" s="1503"/>
      <c r="EF8" s="1503"/>
      <c r="EG8" s="1216"/>
      <c r="EH8" s="1503"/>
      <c r="EI8" s="1503"/>
      <c r="EJ8" s="1503"/>
      <c r="EK8" s="1503"/>
      <c r="EL8" s="1503"/>
      <c r="EM8" s="1503"/>
      <c r="EN8" s="1503"/>
      <c r="EO8" s="1216"/>
      <c r="EP8" s="1503"/>
      <c r="EQ8" s="1503"/>
      <c r="ER8" s="1503"/>
      <c r="ES8" s="1503"/>
      <c r="ET8" s="1503"/>
      <c r="EU8" s="1503"/>
      <c r="EV8" s="1503"/>
      <c r="EW8" s="1216"/>
      <c r="EX8" s="1503"/>
      <c r="EY8" s="1503"/>
      <c r="EZ8" s="1503"/>
      <c r="FA8" s="1503"/>
      <c r="FB8" s="1503"/>
      <c r="FC8" s="1503"/>
      <c r="FD8" s="1503"/>
      <c r="FE8" s="1216"/>
      <c r="FF8" s="1503"/>
      <c r="FG8" s="1503"/>
      <c r="FH8" s="1503"/>
      <c r="FI8" s="1503"/>
      <c r="FJ8" s="1503"/>
      <c r="FK8" s="1503"/>
      <c r="FL8" s="1503"/>
      <c r="FM8" s="1216"/>
      <c r="FN8" s="1503"/>
      <c r="FO8" s="1503"/>
      <c r="FP8" s="1503"/>
      <c r="FQ8" s="1503"/>
      <c r="FR8" s="1503"/>
      <c r="FS8" s="1503"/>
      <c r="FT8" s="1503"/>
      <c r="FU8" s="1216"/>
      <c r="FV8" s="1503"/>
      <c r="FW8" s="1503"/>
      <c r="FX8" s="1503"/>
      <c r="FY8" s="1503"/>
      <c r="FZ8" s="1503"/>
      <c r="GA8" s="1503"/>
      <c r="GB8" s="1503"/>
      <c r="GC8" s="1216"/>
      <c r="GD8" s="1503"/>
      <c r="GE8" s="1503"/>
      <c r="GF8" s="1503"/>
      <c r="GG8" s="1503"/>
      <c r="GH8" s="1503"/>
      <c r="GI8" s="1503"/>
      <c r="GJ8" s="1503"/>
      <c r="GK8" s="1216"/>
      <c r="GL8" s="1503"/>
      <c r="GM8" s="1503"/>
      <c r="GN8" s="1503"/>
      <c r="GO8" s="1503"/>
      <c r="GP8" s="1503"/>
      <c r="GQ8" s="1503"/>
      <c r="GR8" s="1503"/>
      <c r="GS8" s="1216"/>
      <c r="GT8" s="1503"/>
      <c r="GU8" s="1503"/>
      <c r="GV8" s="1503"/>
      <c r="GW8" s="1503"/>
      <c r="GX8" s="1503"/>
      <c r="GY8" s="1503"/>
      <c r="GZ8" s="1503"/>
      <c r="HA8" s="1216"/>
      <c r="HB8" s="1503"/>
      <c r="HC8" s="1503"/>
      <c r="HD8" s="1503"/>
      <c r="HE8" s="1503"/>
      <c r="HF8" s="1503"/>
      <c r="HG8" s="1503"/>
      <c r="HH8" s="1503"/>
      <c r="HI8" s="1216"/>
      <c r="HJ8" s="1503"/>
      <c r="HK8" s="1503"/>
      <c r="HL8" s="1503"/>
      <c r="HM8" s="1503"/>
      <c r="HN8" s="1503"/>
      <c r="HO8" s="1503"/>
      <c r="HP8" s="1503"/>
      <c r="HQ8" s="1216"/>
      <c r="HR8" s="1503"/>
      <c r="HS8" s="1503"/>
      <c r="HT8" s="1503"/>
      <c r="HU8" s="1503"/>
      <c r="HV8" s="1503"/>
      <c r="HW8" s="1503"/>
      <c r="HX8" s="1503"/>
      <c r="HY8" s="1216"/>
      <c r="HZ8" s="1503"/>
      <c r="IA8" s="1503"/>
      <c r="IB8" s="1503"/>
      <c r="IC8" s="1503"/>
      <c r="ID8" s="1503"/>
      <c r="IE8" s="1503"/>
      <c r="IF8" s="1503"/>
      <c r="IG8" s="1216"/>
      <c r="IH8" s="1503"/>
      <c r="II8" s="1503"/>
      <c r="IJ8" s="1503"/>
      <c r="IK8" s="1503"/>
      <c r="IL8" s="1503"/>
      <c r="IM8" s="1503"/>
      <c r="IN8" s="1503"/>
      <c r="IO8" s="1216"/>
      <c r="IP8" s="1503"/>
      <c r="IQ8" s="1503"/>
      <c r="IR8" s="1503"/>
      <c r="IS8" s="1503"/>
      <c r="IT8" s="1503"/>
      <c r="IU8" s="1503"/>
      <c r="IV8" s="1503"/>
    </row>
    <row r="9" spans="1:256" ht="6.75" customHeight="1" x14ac:dyDescent="0.25">
      <c r="A9" s="1485"/>
      <c r="B9" s="1486"/>
      <c r="C9" s="1486"/>
      <c r="D9" s="1486"/>
      <c r="E9" s="1486"/>
      <c r="F9" s="1486"/>
      <c r="G9" s="1486"/>
      <c r="H9" s="1486"/>
    </row>
    <row r="10" spans="1:256" ht="99" customHeight="1" x14ac:dyDescent="0.25">
      <c r="A10" s="1487" t="s">
        <v>3911</v>
      </c>
      <c r="B10" s="1487"/>
      <c r="C10" s="1487"/>
      <c r="D10" s="1487"/>
      <c r="E10" s="1487"/>
      <c r="F10" s="1487"/>
      <c r="G10" s="1487"/>
      <c r="H10" s="1487"/>
      <c r="I10" s="1487"/>
    </row>
    <row r="11" spans="1:256" ht="5.25" customHeight="1" x14ac:dyDescent="0.25">
      <c r="A11" s="1504"/>
      <c r="B11" s="1504"/>
      <c r="C11" s="1504"/>
      <c r="D11" s="1504"/>
      <c r="E11" s="1504"/>
      <c r="F11" s="1504"/>
      <c r="G11" s="1504"/>
      <c r="H11" s="1504"/>
    </row>
    <row r="12" spans="1:256" ht="12.75" customHeight="1" x14ac:dyDescent="0.25">
      <c r="A12" s="1215" t="s">
        <v>1138</v>
      </c>
      <c r="B12" s="1484" t="s">
        <v>3482</v>
      </c>
      <c r="C12" s="1484"/>
      <c r="D12" s="1484"/>
      <c r="E12" s="1484"/>
      <c r="F12" s="1484"/>
      <c r="G12" s="1484"/>
      <c r="H12" s="1484"/>
      <c r="I12" s="1484"/>
    </row>
    <row r="13" spans="1:256" ht="6.75" customHeight="1" x14ac:dyDescent="0.25">
      <c r="A13" s="1485"/>
      <c r="B13" s="1485"/>
      <c r="C13" s="1485"/>
      <c r="D13" s="1485"/>
      <c r="E13" s="1485"/>
      <c r="F13" s="1485"/>
      <c r="G13" s="1485"/>
      <c r="H13" s="1485"/>
    </row>
    <row r="14" spans="1:256" ht="36.75" customHeight="1" x14ac:dyDescent="0.25">
      <c r="A14" s="1487" t="s">
        <v>3912</v>
      </c>
      <c r="B14" s="1487"/>
      <c r="C14" s="1487"/>
      <c r="D14" s="1487"/>
      <c r="E14" s="1487"/>
      <c r="F14" s="1487"/>
      <c r="G14" s="1487"/>
      <c r="H14" s="1487"/>
      <c r="I14" s="1487"/>
    </row>
    <row r="15" spans="1:256" ht="7.5" customHeight="1" x14ac:dyDescent="0.25">
      <c r="A15" s="1487"/>
      <c r="B15" s="1487"/>
      <c r="C15" s="1487"/>
      <c r="D15" s="1487"/>
      <c r="E15" s="1487"/>
      <c r="F15" s="1487"/>
      <c r="G15" s="1487"/>
      <c r="H15" s="1487"/>
    </row>
    <row r="16" spans="1:256" ht="12.75" customHeight="1" x14ac:dyDescent="0.25">
      <c r="A16" s="1215" t="s">
        <v>1139</v>
      </c>
      <c r="B16" s="1484" t="s">
        <v>3556</v>
      </c>
      <c r="C16" s="1484"/>
      <c r="D16" s="1484"/>
      <c r="E16" s="1484"/>
      <c r="F16" s="1484"/>
      <c r="G16" s="1484"/>
      <c r="H16" s="1484"/>
      <c r="I16" s="1484"/>
    </row>
    <row r="17" spans="1:9" ht="6.75" customHeight="1" x14ac:dyDescent="0.25">
      <c r="A17" s="1485"/>
      <c r="B17" s="1485"/>
      <c r="C17" s="1485"/>
      <c r="D17" s="1485"/>
      <c r="E17" s="1485"/>
      <c r="F17" s="1485"/>
      <c r="G17" s="1485"/>
      <c r="H17" s="1485"/>
    </row>
    <row r="18" spans="1:9" ht="58.5" customHeight="1" x14ac:dyDescent="0.25">
      <c r="A18" s="1487" t="s">
        <v>3557</v>
      </c>
      <c r="B18" s="1487"/>
      <c r="C18" s="1487"/>
      <c r="D18" s="1487"/>
      <c r="E18" s="1487"/>
      <c r="F18" s="1487"/>
      <c r="G18" s="1487"/>
      <c r="H18" s="1487"/>
      <c r="I18" s="1487"/>
    </row>
    <row r="19" spans="1:9" ht="7.5" customHeight="1" x14ac:dyDescent="0.25">
      <c r="A19" s="1487"/>
      <c r="B19" s="1487"/>
      <c r="C19" s="1487"/>
      <c r="D19" s="1487"/>
      <c r="E19" s="1487"/>
      <c r="F19" s="1487"/>
      <c r="G19" s="1487"/>
      <c r="H19" s="1487"/>
    </row>
    <row r="20" spans="1:9" ht="12.75" customHeight="1" x14ac:dyDescent="0.25">
      <c r="A20" s="1215" t="s">
        <v>1143</v>
      </c>
      <c r="B20" s="1484" t="s">
        <v>3483</v>
      </c>
      <c r="C20" s="1484"/>
      <c r="D20" s="1484"/>
      <c r="E20" s="1484"/>
      <c r="F20" s="1484"/>
      <c r="G20" s="1484"/>
      <c r="H20" s="1484"/>
      <c r="I20" s="1484"/>
    </row>
    <row r="21" spans="1:9" ht="6.75" customHeight="1" x14ac:dyDescent="0.25">
      <c r="A21" s="1485"/>
      <c r="B21" s="1485"/>
      <c r="C21" s="1485"/>
      <c r="D21" s="1485"/>
      <c r="E21" s="1485"/>
      <c r="F21" s="1485"/>
      <c r="G21" s="1485"/>
      <c r="H21" s="1485"/>
    </row>
    <row r="22" spans="1:9" ht="72.75" customHeight="1" x14ac:dyDescent="0.25">
      <c r="A22" s="1487" t="s">
        <v>3558</v>
      </c>
      <c r="B22" s="1487"/>
      <c r="C22" s="1487"/>
      <c r="D22" s="1487"/>
      <c r="E22" s="1487"/>
      <c r="F22" s="1487"/>
      <c r="G22" s="1487"/>
      <c r="H22" s="1487"/>
      <c r="I22" s="1487"/>
    </row>
    <row r="23" spans="1:9" ht="7.5" customHeight="1" x14ac:dyDescent="0.25">
      <c r="A23" s="1487"/>
      <c r="B23" s="1487"/>
      <c r="C23" s="1487"/>
      <c r="D23" s="1487"/>
      <c r="E23" s="1487"/>
      <c r="F23" s="1487"/>
      <c r="G23" s="1487"/>
      <c r="H23" s="1487"/>
    </row>
    <row r="24" spans="1:9" ht="12.75" customHeight="1" x14ac:dyDescent="0.25">
      <c r="A24" s="1215" t="s">
        <v>65</v>
      </c>
      <c r="B24" s="1484" t="s">
        <v>3559</v>
      </c>
      <c r="C24" s="1484"/>
      <c r="D24" s="1484"/>
      <c r="E24" s="1484"/>
      <c r="F24" s="1484"/>
      <c r="G24" s="1484"/>
      <c r="H24" s="1484"/>
      <c r="I24" s="1484"/>
    </row>
    <row r="25" spans="1:9" ht="6.75" customHeight="1" x14ac:dyDescent="0.25">
      <c r="A25" s="1485"/>
      <c r="B25" s="1485"/>
      <c r="C25" s="1485"/>
      <c r="D25" s="1485"/>
      <c r="E25" s="1485"/>
      <c r="F25" s="1485"/>
      <c r="G25" s="1485"/>
      <c r="H25" s="1485"/>
    </row>
    <row r="26" spans="1:9" ht="49.5" customHeight="1" x14ac:dyDescent="0.25">
      <c r="A26" s="1487" t="s">
        <v>3560</v>
      </c>
      <c r="B26" s="1487"/>
      <c r="C26" s="1487"/>
      <c r="D26" s="1487"/>
      <c r="E26" s="1487"/>
      <c r="F26" s="1487"/>
      <c r="G26" s="1487"/>
      <c r="H26" s="1487"/>
      <c r="I26" s="1487"/>
    </row>
    <row r="27" spans="1:9" ht="7.5" customHeight="1" x14ac:dyDescent="0.25">
      <c r="A27" s="1487"/>
      <c r="B27" s="1487"/>
      <c r="C27" s="1487"/>
      <c r="D27" s="1487"/>
      <c r="E27" s="1487"/>
      <c r="F27" s="1487"/>
      <c r="G27" s="1487"/>
      <c r="H27" s="1487"/>
    </row>
    <row r="28" spans="1:9" ht="12.75" customHeight="1" x14ac:dyDescent="0.25">
      <c r="A28" s="1215" t="s">
        <v>66</v>
      </c>
      <c r="B28" s="1484" t="s">
        <v>3485</v>
      </c>
      <c r="C28" s="1484"/>
      <c r="D28" s="1484"/>
      <c r="E28" s="1484"/>
      <c r="F28" s="1484"/>
      <c r="G28" s="1484"/>
      <c r="H28" s="1484"/>
      <c r="I28" s="1484"/>
    </row>
    <row r="29" spans="1:9" ht="6.75" customHeight="1" x14ac:dyDescent="0.25">
      <c r="A29" s="1485"/>
      <c r="B29" s="1485"/>
      <c r="C29" s="1485"/>
      <c r="D29" s="1485"/>
      <c r="E29" s="1485"/>
      <c r="F29" s="1485"/>
      <c r="G29" s="1485"/>
      <c r="H29" s="1485"/>
    </row>
    <row r="30" spans="1:9" ht="135" customHeight="1" x14ac:dyDescent="0.25">
      <c r="A30" s="1487" t="s">
        <v>3913</v>
      </c>
      <c r="B30" s="1487"/>
      <c r="C30" s="1487"/>
      <c r="D30" s="1487"/>
      <c r="E30" s="1487"/>
      <c r="F30" s="1487"/>
      <c r="G30" s="1487"/>
      <c r="H30" s="1487"/>
      <c r="I30" s="1487"/>
    </row>
    <row r="31" spans="1:9" ht="7.5" customHeight="1" x14ac:dyDescent="0.25">
      <c r="A31" s="1487"/>
      <c r="B31" s="1487"/>
      <c r="C31" s="1487"/>
      <c r="D31" s="1487"/>
      <c r="E31" s="1487"/>
      <c r="F31" s="1487"/>
      <c r="G31" s="1487"/>
      <c r="H31" s="1487"/>
    </row>
    <row r="32" spans="1:9" ht="12.75" customHeight="1" x14ac:dyDescent="0.25">
      <c r="A32" s="1215" t="s">
        <v>67</v>
      </c>
      <c r="B32" s="1484" t="s">
        <v>3561</v>
      </c>
      <c r="C32" s="1484"/>
      <c r="D32" s="1484"/>
      <c r="E32" s="1484"/>
      <c r="F32" s="1484"/>
      <c r="G32" s="1484"/>
      <c r="H32" s="1484"/>
      <c r="I32" s="1484"/>
    </row>
    <row r="33" spans="1:9" ht="6.75" customHeight="1" x14ac:dyDescent="0.25">
      <c r="A33" s="1485"/>
      <c r="B33" s="1485"/>
      <c r="C33" s="1485"/>
      <c r="D33" s="1485"/>
      <c r="E33" s="1485"/>
      <c r="F33" s="1485"/>
      <c r="G33" s="1485"/>
      <c r="H33" s="1485"/>
    </row>
    <row r="34" spans="1:9" ht="69" customHeight="1" x14ac:dyDescent="0.25">
      <c r="A34" s="1487" t="s">
        <v>3562</v>
      </c>
      <c r="B34" s="1487"/>
      <c r="C34" s="1487"/>
      <c r="D34" s="1487"/>
      <c r="E34" s="1487"/>
      <c r="F34" s="1487"/>
      <c r="G34" s="1487"/>
      <c r="H34" s="1487"/>
      <c r="I34" s="1487"/>
    </row>
    <row r="35" spans="1:9" ht="12.75" customHeight="1" x14ac:dyDescent="0.25">
      <c r="A35" s="1490" t="s">
        <v>3914</v>
      </c>
      <c r="B35" s="1501"/>
      <c r="C35" s="1501"/>
      <c r="D35" s="1501"/>
      <c r="E35" s="1501"/>
      <c r="F35" s="1501"/>
      <c r="G35" s="1501"/>
      <c r="H35" s="1501"/>
      <c r="I35" s="1501"/>
    </row>
    <row r="36" spans="1:9" ht="12.75" customHeight="1" x14ac:dyDescent="0.25">
      <c r="A36" s="1501" t="str">
        <f>IF(Input!K51=1,"un'assicurazione d'indennità giornaliera per malattia con 720 o più giorni (secondo l'offerta).*","nessuna risp. un'assicurazione collettiva di 719 o meno giorni.")</f>
        <v>un'assicurazione d'indennità giornaliera per malattia con 720 o più giorni (secondo l'offerta).*</v>
      </c>
      <c r="B36" s="1501"/>
      <c r="C36" s="1501"/>
      <c r="D36" s="1501"/>
      <c r="E36" s="1501"/>
      <c r="F36" s="1501"/>
      <c r="G36" s="1501"/>
      <c r="H36" s="1501"/>
      <c r="I36" s="1501"/>
    </row>
    <row r="37" spans="1:9" ht="3" customHeight="1" x14ac:dyDescent="0.25">
      <c r="A37" s="1501" t="str">
        <f>IF(Input!K51=1,"","(secondo offerta con termine d'attesa 360 giorni; vedi punto 8).")</f>
        <v/>
      </c>
      <c r="B37" s="1501"/>
      <c r="C37" s="1501"/>
      <c r="D37" s="1501"/>
      <c r="E37" s="1501"/>
      <c r="F37" s="1501"/>
      <c r="G37" s="1501"/>
      <c r="H37" s="1501"/>
      <c r="I37" s="1501"/>
    </row>
    <row r="38" spans="1:9" ht="4.5" customHeight="1" x14ac:dyDescent="0.25">
      <c r="A38" s="1217"/>
      <c r="B38" s="1218"/>
      <c r="C38" s="1218"/>
      <c r="D38" s="1218"/>
      <c r="E38" s="1218"/>
      <c r="F38" s="1218"/>
      <c r="G38" s="1218"/>
      <c r="H38" s="1218"/>
      <c r="I38" s="1218"/>
    </row>
    <row r="39" spans="1:9" ht="9" customHeight="1" x14ac:dyDescent="0.25">
      <c r="A39" s="1201"/>
      <c r="B39" s="1201"/>
      <c r="C39" s="1201"/>
      <c r="D39" s="1201"/>
      <c r="E39" s="1201"/>
      <c r="F39" s="1201"/>
      <c r="G39" s="1201"/>
      <c r="H39" s="1201"/>
      <c r="I39" s="1219" t="s">
        <v>73</v>
      </c>
    </row>
    <row r="40" spans="1:9" ht="39" customHeight="1" x14ac:dyDescent="0.25">
      <c r="A40" s="1495" t="s">
        <v>3563</v>
      </c>
      <c r="B40" s="1496"/>
      <c r="C40" s="1496"/>
      <c r="D40" s="1496"/>
      <c r="E40" s="1496"/>
      <c r="F40" s="1496"/>
      <c r="G40" s="1496"/>
      <c r="H40" s="1496"/>
      <c r="I40" s="1496"/>
    </row>
    <row r="41" spans="1:9" ht="93.75" customHeight="1" x14ac:dyDescent="0.25">
      <c r="A41" s="1496" t="s">
        <v>3915</v>
      </c>
      <c r="B41" s="1496"/>
      <c r="C41" s="1496"/>
      <c r="D41" s="1496"/>
      <c r="E41" s="1496"/>
      <c r="F41" s="1496"/>
      <c r="G41" s="1496"/>
      <c r="H41" s="1496"/>
      <c r="I41" s="1496"/>
    </row>
    <row r="42" spans="1:9" ht="12.75" customHeight="1" x14ac:dyDescent="0.25">
      <c r="A42" s="1496"/>
      <c r="B42" s="1496"/>
      <c r="C42" s="1496"/>
      <c r="D42" s="1496"/>
      <c r="E42" s="1496"/>
      <c r="F42" s="1496"/>
      <c r="G42" s="1496"/>
      <c r="H42" s="1496"/>
      <c r="I42" s="1496"/>
    </row>
    <row r="43" spans="1:9" ht="12.75" customHeight="1" x14ac:dyDescent="0.25">
      <c r="A43" s="1215" t="s">
        <v>68</v>
      </c>
      <c r="B43" s="1484" t="s">
        <v>3564</v>
      </c>
      <c r="C43" s="1484"/>
      <c r="D43" s="1484"/>
      <c r="E43" s="1484"/>
      <c r="F43" s="1484"/>
      <c r="G43" s="1484"/>
      <c r="H43" s="1484"/>
      <c r="I43" s="1484"/>
    </row>
    <row r="44" spans="1:9" ht="6.75" customHeight="1" x14ac:dyDescent="0.25">
      <c r="A44" s="1485"/>
      <c r="B44" s="1485"/>
      <c r="C44" s="1485"/>
      <c r="D44" s="1485"/>
      <c r="E44" s="1485"/>
      <c r="F44" s="1485"/>
      <c r="G44" s="1485"/>
      <c r="H44" s="1485"/>
    </row>
    <row r="45" spans="1:9" ht="12.75" customHeight="1" x14ac:dyDescent="0.25">
      <c r="A45" s="1482" t="s">
        <v>3565</v>
      </c>
      <c r="B45" s="1482"/>
      <c r="C45" s="1482"/>
      <c r="D45" s="1481" t="s">
        <v>230</v>
      </c>
      <c r="E45" s="1481"/>
      <c r="F45" s="1481"/>
      <c r="G45" s="1481"/>
      <c r="H45" s="1481"/>
      <c r="I45" s="1481"/>
    </row>
    <row r="46" spans="1:9" ht="3" customHeight="1" x14ac:dyDescent="0.25">
      <c r="A46" s="1201"/>
      <c r="B46" s="1201"/>
      <c r="C46" s="1201"/>
      <c r="D46" s="1201"/>
      <c r="E46" s="1201"/>
      <c r="F46" s="1201"/>
      <c r="G46" s="1201"/>
      <c r="H46" s="1201"/>
    </row>
    <row r="47" spans="1:9" ht="12.75" customHeight="1" x14ac:dyDescent="0.25">
      <c r="A47" s="1482" t="s">
        <v>3566</v>
      </c>
      <c r="B47" s="1482"/>
      <c r="C47" s="1482"/>
      <c r="D47" s="1481" t="s">
        <v>230</v>
      </c>
      <c r="E47" s="1481"/>
      <c r="F47" s="1481"/>
      <c r="G47" s="1481"/>
      <c r="H47" s="1481"/>
      <c r="I47" s="1481"/>
    </row>
    <row r="48" spans="1:9" ht="3" customHeight="1" x14ac:dyDescent="0.25">
      <c r="A48" s="1201"/>
      <c r="B48" s="1201"/>
      <c r="C48" s="1201"/>
      <c r="D48" s="1201"/>
      <c r="E48" s="1201"/>
      <c r="F48" s="1201"/>
      <c r="G48" s="1201"/>
      <c r="H48" s="1201"/>
    </row>
    <row r="49" spans="1:9" ht="12.75" customHeight="1" x14ac:dyDescent="0.25">
      <c r="A49" s="1482" t="s">
        <v>3627</v>
      </c>
      <c r="B49" s="1482"/>
      <c r="C49" s="1482"/>
      <c r="D49" s="1481" t="s">
        <v>230</v>
      </c>
      <c r="E49" s="1481"/>
      <c r="F49" s="1481"/>
      <c r="G49" s="1481"/>
      <c r="H49" s="1481"/>
      <c r="I49" s="1481"/>
    </row>
    <row r="50" spans="1:9" ht="3" customHeight="1" x14ac:dyDescent="0.25">
      <c r="A50" s="1201"/>
      <c r="B50" s="1201"/>
      <c r="C50" s="1201"/>
      <c r="D50" s="1201"/>
      <c r="E50" s="1201"/>
      <c r="F50" s="1201"/>
      <c r="G50" s="1201"/>
      <c r="H50" s="1201"/>
    </row>
    <row r="51" spans="1:9" ht="12.75" customHeight="1" x14ac:dyDescent="0.25">
      <c r="A51" s="1482" t="s">
        <v>3105</v>
      </c>
      <c r="B51" s="1482"/>
      <c r="C51" s="1482"/>
      <c r="D51" s="1481" t="s">
        <v>230</v>
      </c>
      <c r="E51" s="1481"/>
      <c r="F51" s="1481"/>
      <c r="G51" s="1481"/>
      <c r="H51" s="1481"/>
      <c r="I51" s="1481"/>
    </row>
    <row r="52" spans="1:9" ht="3" customHeight="1" x14ac:dyDescent="0.25">
      <c r="A52" s="1201"/>
      <c r="B52" s="1201"/>
      <c r="C52" s="1201"/>
      <c r="D52" s="1201"/>
      <c r="E52" s="1201"/>
      <c r="F52" s="1201"/>
      <c r="G52" s="1201"/>
      <c r="H52" s="1201"/>
    </row>
    <row r="53" spans="1:9" ht="12.75" customHeight="1" x14ac:dyDescent="0.25">
      <c r="A53" s="1482" t="s">
        <v>3567</v>
      </c>
      <c r="B53" s="1482"/>
      <c r="C53" s="1482"/>
      <c r="D53" s="1481" t="s">
        <v>230</v>
      </c>
      <c r="E53" s="1481"/>
      <c r="F53" s="1481"/>
      <c r="G53" s="1481"/>
      <c r="H53" s="1481"/>
      <c r="I53" s="1481"/>
    </row>
    <row r="54" spans="1:9" ht="3" customHeight="1" x14ac:dyDescent="0.25">
      <c r="A54" s="1201"/>
      <c r="B54" s="1201"/>
      <c r="C54" s="1201"/>
      <c r="D54" s="1201"/>
      <c r="E54" s="1201"/>
      <c r="F54" s="1201"/>
      <c r="G54" s="1201"/>
      <c r="H54" s="1201"/>
    </row>
    <row r="55" spans="1:9" ht="12.75" customHeight="1" x14ac:dyDescent="0.25">
      <c r="A55" s="1482" t="s">
        <v>3568</v>
      </c>
      <c r="B55" s="1482"/>
      <c r="C55" s="1482"/>
      <c r="D55" s="1481" t="s">
        <v>230</v>
      </c>
      <c r="E55" s="1481"/>
      <c r="F55" s="1481"/>
      <c r="G55" s="1481"/>
      <c r="H55" s="1481"/>
      <c r="I55" s="1481"/>
    </row>
    <row r="56" spans="1:9" ht="12.75" customHeight="1" x14ac:dyDescent="0.25">
      <c r="A56" s="1217"/>
      <c r="B56" s="1218"/>
      <c r="C56" s="1218"/>
      <c r="D56" s="1218"/>
      <c r="E56" s="1218"/>
      <c r="F56" s="1218"/>
      <c r="G56" s="1218"/>
      <c r="H56" s="1218"/>
      <c r="I56" s="1218"/>
    </row>
    <row r="57" spans="1:9" ht="12.75" customHeight="1" x14ac:dyDescent="0.25">
      <c r="A57" s="1215" t="s">
        <v>69</v>
      </c>
      <c r="B57" s="1484" t="s">
        <v>3916</v>
      </c>
      <c r="C57" s="1484"/>
      <c r="D57" s="1484"/>
      <c r="E57" s="1484"/>
      <c r="F57" s="1484"/>
      <c r="G57" s="1484"/>
      <c r="H57" s="1484"/>
      <c r="I57" s="1484"/>
    </row>
    <row r="58" spans="1:9" ht="9.6" customHeight="1" x14ac:dyDescent="0.25">
      <c r="A58" s="1485"/>
      <c r="B58" s="1485"/>
      <c r="C58" s="1485"/>
      <c r="D58" s="1485"/>
      <c r="E58" s="1485"/>
      <c r="F58" s="1485"/>
      <c r="G58" s="1485"/>
      <c r="H58" s="1485"/>
    </row>
    <row r="59" spans="1:9" s="1221" customFormat="1" ht="16.5" customHeight="1" x14ac:dyDescent="0.25">
      <c r="A59" s="1198" t="s">
        <v>3569</v>
      </c>
      <c r="B59" s="1200"/>
      <c r="C59" s="1200"/>
      <c r="D59" s="1220">
        <f>Input!E15</f>
        <v>45292</v>
      </c>
      <c r="F59" s="1198" t="s">
        <v>3570</v>
      </c>
      <c r="G59" s="1198"/>
      <c r="H59" s="1435" t="s">
        <v>57</v>
      </c>
      <c r="I59" s="1435"/>
    </row>
    <row r="60" spans="1:9" ht="12" customHeight="1" x14ac:dyDescent="0.25">
      <c r="A60" s="1201"/>
      <c r="B60" s="1201"/>
      <c r="C60" s="1201"/>
      <c r="D60" s="1201"/>
      <c r="E60" s="1201"/>
      <c r="F60" s="1201"/>
      <c r="G60" s="1201"/>
      <c r="H60" s="1201"/>
    </row>
    <row r="61" spans="1:9" s="1221" customFormat="1" ht="12.75" customHeight="1" x14ac:dyDescent="0.25">
      <c r="A61" s="1200" t="s">
        <v>3571</v>
      </c>
      <c r="B61" s="1200"/>
      <c r="C61" s="1200"/>
      <c r="D61" s="1200"/>
      <c r="E61" s="1200"/>
      <c r="F61" s="1200"/>
      <c r="G61" s="1200"/>
      <c r="H61" s="1200"/>
      <c r="I61" s="1200"/>
    </row>
    <row r="62" spans="1:9" ht="12" customHeight="1" x14ac:dyDescent="0.25">
      <c r="A62" s="1201"/>
      <c r="B62" s="1201"/>
      <c r="C62" s="1201"/>
      <c r="D62" s="1201"/>
      <c r="E62" s="1201"/>
      <c r="F62" s="1201"/>
      <c r="G62" s="1201"/>
      <c r="H62" s="1201"/>
    </row>
    <row r="63" spans="1:9" s="1221" customFormat="1" ht="12.75" customHeight="1" x14ac:dyDescent="0.25">
      <c r="A63" s="1198" t="s">
        <v>3917</v>
      </c>
      <c r="B63" s="1200"/>
      <c r="C63" s="1200"/>
      <c r="D63" s="1200"/>
      <c r="E63" s="1200"/>
      <c r="F63" s="1200"/>
      <c r="G63" s="1200"/>
      <c r="H63" s="1200"/>
      <c r="I63" s="1200"/>
    </row>
    <row r="64" spans="1:9" ht="48.75" customHeight="1" x14ac:dyDescent="0.25">
      <c r="A64" s="1495" t="s">
        <v>3918</v>
      </c>
      <c r="B64" s="1496"/>
      <c r="C64" s="1496"/>
      <c r="D64" s="1496"/>
      <c r="E64" s="1496"/>
      <c r="F64" s="1496"/>
      <c r="G64" s="1496"/>
      <c r="H64" s="1496"/>
      <c r="I64" s="1496"/>
    </row>
    <row r="65" spans="1:9" ht="3" customHeight="1" x14ac:dyDescent="0.25">
      <c r="A65" s="1201"/>
      <c r="B65" s="1201"/>
      <c r="C65" s="1201"/>
      <c r="D65" s="1201"/>
      <c r="E65" s="1201"/>
      <c r="F65" s="1201"/>
      <c r="G65" s="1201"/>
      <c r="H65" s="1201"/>
    </row>
    <row r="66" spans="1:9" ht="15" customHeight="1" x14ac:dyDescent="0.25">
      <c r="A66" s="1497" t="s">
        <v>3572</v>
      </c>
      <c r="B66" s="1497"/>
      <c r="C66" s="1497"/>
      <c r="D66" s="1222" t="s">
        <v>3573</v>
      </c>
      <c r="E66" s="1498" t="s">
        <v>3574</v>
      </c>
      <c r="F66" s="1498"/>
      <c r="G66" s="1498"/>
      <c r="H66" s="1498" t="s">
        <v>3575</v>
      </c>
      <c r="I66" s="1498"/>
    </row>
    <row r="67" spans="1:9" ht="15" customHeight="1" x14ac:dyDescent="0.25">
      <c r="A67" s="1492"/>
      <c r="B67" s="1492"/>
      <c r="C67" s="1492"/>
      <c r="D67" s="1223"/>
      <c r="E67" s="1493"/>
      <c r="F67" s="1493"/>
      <c r="G67" s="1493"/>
      <c r="H67" s="1494"/>
      <c r="I67" s="1494"/>
    </row>
    <row r="68" spans="1:9" ht="15" customHeight="1" x14ac:dyDescent="0.25">
      <c r="A68" s="1492"/>
      <c r="B68" s="1492"/>
      <c r="C68" s="1492"/>
      <c r="D68" s="1223"/>
      <c r="E68" s="1493"/>
      <c r="F68" s="1493"/>
      <c r="G68" s="1493"/>
      <c r="H68" s="1494"/>
      <c r="I68" s="1494"/>
    </row>
    <row r="69" spans="1:9" ht="15" customHeight="1" x14ac:dyDescent="0.25">
      <c r="A69" s="1492"/>
      <c r="B69" s="1492"/>
      <c r="C69" s="1492"/>
      <c r="D69" s="1223"/>
      <c r="E69" s="1493"/>
      <c r="F69" s="1493"/>
      <c r="G69" s="1493"/>
      <c r="H69" s="1494"/>
      <c r="I69" s="1494"/>
    </row>
    <row r="70" spans="1:9" ht="15" customHeight="1" x14ac:dyDescent="0.25">
      <c r="A70" s="1492"/>
      <c r="B70" s="1492"/>
      <c r="C70" s="1492"/>
      <c r="D70" s="1223"/>
      <c r="E70" s="1493"/>
      <c r="F70" s="1493"/>
      <c r="G70" s="1493"/>
      <c r="H70" s="1494"/>
      <c r="I70" s="1494"/>
    </row>
    <row r="71" spans="1:9" ht="15" customHeight="1" x14ac:dyDescent="0.25">
      <c r="A71" s="1201"/>
      <c r="B71" s="1201"/>
      <c r="C71" s="1201"/>
      <c r="D71" s="1201"/>
      <c r="E71" s="1201"/>
      <c r="F71" s="1201"/>
      <c r="G71" s="1201"/>
      <c r="H71" s="1201"/>
    </row>
    <row r="72" spans="1:9" s="1221" customFormat="1" ht="12.75" customHeight="1" x14ac:dyDescent="0.25">
      <c r="A72" s="1198" t="s">
        <v>3576</v>
      </c>
      <c r="B72" s="1200"/>
      <c r="C72" s="1200"/>
      <c r="D72" s="1200"/>
      <c r="E72" s="1200"/>
      <c r="F72" s="1200"/>
      <c r="G72" s="1200"/>
      <c r="H72" s="1200"/>
      <c r="I72" s="1200"/>
    </row>
    <row r="73" spans="1:9" ht="3" customHeight="1" x14ac:dyDescent="0.25">
      <c r="A73" s="1201"/>
      <c r="B73" s="1201"/>
      <c r="C73" s="1201"/>
      <c r="D73" s="1201"/>
      <c r="E73" s="1201"/>
      <c r="F73" s="1201"/>
      <c r="G73" s="1201"/>
      <c r="H73" s="1201"/>
    </row>
    <row r="74" spans="1:9" ht="12.75" customHeight="1" x14ac:dyDescent="0.25">
      <c r="A74" s="1482" t="s">
        <v>3081</v>
      </c>
      <c r="B74" s="1482"/>
      <c r="C74" s="1482"/>
      <c r="D74" s="1481" t="s">
        <v>230</v>
      </c>
      <c r="E74" s="1481"/>
      <c r="F74" s="1481"/>
      <c r="G74" s="1481"/>
      <c r="H74" s="1481"/>
      <c r="I74" s="1481"/>
    </row>
    <row r="75" spans="1:9" ht="3" customHeight="1" x14ac:dyDescent="0.25">
      <c r="A75" s="1201"/>
      <c r="B75" s="1201"/>
      <c r="C75" s="1201"/>
      <c r="D75" s="1201"/>
      <c r="E75" s="1201"/>
      <c r="F75" s="1201"/>
      <c r="G75" s="1201"/>
      <c r="H75" s="1201"/>
    </row>
    <row r="76" spans="1:9" ht="12.75" customHeight="1" x14ac:dyDescent="0.25">
      <c r="A76" s="1482" t="s">
        <v>3566</v>
      </c>
      <c r="B76" s="1482"/>
      <c r="C76" s="1482"/>
      <c r="D76" s="1481" t="s">
        <v>230</v>
      </c>
      <c r="E76" s="1481"/>
      <c r="F76" s="1481"/>
      <c r="G76" s="1481"/>
      <c r="H76" s="1481"/>
      <c r="I76" s="1481"/>
    </row>
    <row r="77" spans="1:9" ht="3" customHeight="1" x14ac:dyDescent="0.25">
      <c r="A77" s="1201"/>
      <c r="B77" s="1201"/>
      <c r="C77" s="1201"/>
      <c r="D77" s="1201"/>
      <c r="E77" s="1201"/>
      <c r="F77" s="1201"/>
      <c r="G77" s="1201"/>
      <c r="H77" s="1201"/>
    </row>
    <row r="78" spans="1:9" ht="12.75" customHeight="1" x14ac:dyDescent="0.25">
      <c r="A78" s="1482" t="s">
        <v>3577</v>
      </c>
      <c r="B78" s="1482"/>
      <c r="C78" s="1482"/>
      <c r="D78" s="1481" t="s">
        <v>230</v>
      </c>
      <c r="E78" s="1481"/>
      <c r="F78" s="1481"/>
      <c r="G78" s="1481"/>
      <c r="H78" s="1481"/>
      <c r="I78" s="1481"/>
    </row>
    <row r="79" spans="1:9" ht="12" customHeight="1" x14ac:dyDescent="0.25">
      <c r="A79" s="1217"/>
      <c r="B79" s="1218"/>
      <c r="C79" s="1218"/>
      <c r="D79" s="1218"/>
      <c r="E79" s="1218"/>
      <c r="F79" s="1218"/>
      <c r="G79" s="1218"/>
      <c r="H79" s="1218"/>
      <c r="I79" s="1218"/>
    </row>
    <row r="80" spans="1:9" s="1221" customFormat="1" ht="12.75" customHeight="1" x14ac:dyDescent="0.25">
      <c r="A80" s="1198" t="s">
        <v>3578</v>
      </c>
      <c r="B80" s="1200"/>
      <c r="C80" s="1224"/>
      <c r="D80" s="1225" t="s">
        <v>3579</v>
      </c>
      <c r="E80" s="1200"/>
      <c r="F80" s="1200"/>
      <c r="G80" s="1200"/>
      <c r="H80" s="1200"/>
      <c r="I80" s="1200"/>
    </row>
    <row r="81" spans="1:15" ht="3" customHeight="1" x14ac:dyDescent="0.25">
      <c r="A81" s="1201"/>
      <c r="B81" s="1201"/>
      <c r="C81" s="1201"/>
      <c r="D81" s="1226"/>
      <c r="E81" s="1201"/>
      <c r="F81" s="1201"/>
      <c r="G81" s="1201"/>
      <c r="H81" s="1201"/>
    </row>
    <row r="82" spans="1:15" ht="12.75" customHeight="1" x14ac:dyDescent="0.25">
      <c r="A82" s="1491"/>
      <c r="B82" s="1491"/>
      <c r="C82" s="1491"/>
      <c r="D82" s="1227" t="s">
        <v>3580</v>
      </c>
      <c r="E82" s="1204"/>
      <c r="F82" s="1204"/>
      <c r="G82" s="1204"/>
      <c r="H82" s="1204"/>
      <c r="I82" s="1204"/>
      <c r="J82" s="1228"/>
      <c r="K82" s="1228"/>
      <c r="L82" s="1228"/>
      <c r="M82" s="1228"/>
      <c r="N82" s="1228"/>
      <c r="O82" s="1228"/>
    </row>
    <row r="83" spans="1:15" ht="9.75" customHeight="1" x14ac:dyDescent="0.25">
      <c r="A83" s="1201"/>
      <c r="B83" s="1201"/>
      <c r="C83" s="1201"/>
      <c r="D83" s="1201"/>
      <c r="E83" s="1201"/>
      <c r="F83" s="1201"/>
      <c r="G83" s="1201"/>
      <c r="H83" s="1201"/>
    </row>
    <row r="84" spans="1:15" ht="12.75" customHeight="1" x14ac:dyDescent="0.25">
      <c r="A84" s="1215" t="s">
        <v>70</v>
      </c>
      <c r="B84" s="1484" t="s">
        <v>3543</v>
      </c>
      <c r="C84" s="1484"/>
      <c r="D84" s="1484"/>
      <c r="E84" s="1484"/>
      <c r="F84" s="1484"/>
      <c r="G84" s="1484"/>
      <c r="H84" s="1484"/>
      <c r="I84" s="1484"/>
    </row>
    <row r="85" spans="1:15" ht="6.75" customHeight="1" x14ac:dyDescent="0.25">
      <c r="A85" s="1485"/>
      <c r="B85" s="1486"/>
      <c r="C85" s="1486"/>
      <c r="D85" s="1486"/>
      <c r="E85" s="1486"/>
      <c r="F85" s="1486"/>
      <c r="G85" s="1486"/>
      <c r="H85" s="1486"/>
    </row>
    <row r="86" spans="1:15" s="1229" customFormat="1" ht="23.25" customHeight="1" x14ac:dyDescent="0.25">
      <c r="A86" s="1488" t="s">
        <v>3581</v>
      </c>
      <c r="B86" s="1488"/>
      <c r="C86" s="1488"/>
      <c r="D86" s="1488"/>
      <c r="E86" s="1488"/>
      <c r="F86" s="1488"/>
      <c r="G86" s="1488"/>
      <c r="H86" s="1488"/>
      <c r="I86" s="1488"/>
    </row>
    <row r="87" spans="1:15" ht="7.2" customHeight="1" x14ac:dyDescent="0.25">
      <c r="A87" s="1201"/>
      <c r="B87" s="1201"/>
      <c r="C87" s="1201"/>
      <c r="D87" s="1201"/>
      <c r="E87" s="1201"/>
      <c r="F87" s="1201"/>
      <c r="G87" s="1201"/>
      <c r="H87" s="1201"/>
    </row>
    <row r="88" spans="1:15" ht="15" customHeight="1" x14ac:dyDescent="0.25">
      <c r="A88" s="1482" t="s">
        <v>3582</v>
      </c>
      <c r="B88" s="1482"/>
      <c r="C88" s="1482"/>
      <c r="D88" s="1481" t="s">
        <v>230</v>
      </c>
      <c r="E88" s="1481"/>
      <c r="F88" s="1481"/>
      <c r="G88" s="1481"/>
      <c r="H88" s="1481"/>
      <c r="I88" s="1481"/>
    </row>
    <row r="89" spans="1:15" ht="3" customHeight="1" x14ac:dyDescent="0.25">
      <c r="A89" s="1201"/>
      <c r="B89" s="1201"/>
      <c r="C89" s="1201"/>
      <c r="D89" s="1201"/>
      <c r="E89" s="1201"/>
      <c r="F89" s="1201"/>
      <c r="G89" s="1201"/>
      <c r="H89" s="1201"/>
    </row>
    <row r="90" spans="1:15" ht="15" customHeight="1" x14ac:dyDescent="0.25">
      <c r="A90" s="1482" t="s">
        <v>3583</v>
      </c>
      <c r="B90" s="1482"/>
      <c r="C90" s="1482"/>
      <c r="D90" s="1481" t="s">
        <v>230</v>
      </c>
      <c r="E90" s="1481"/>
      <c r="F90" s="1481"/>
      <c r="G90" s="1481"/>
      <c r="H90" s="1481"/>
      <c r="I90" s="1481"/>
    </row>
    <row r="91" spans="1:15" ht="3" customHeight="1" x14ac:dyDescent="0.25">
      <c r="A91" s="1201"/>
      <c r="B91" s="1201"/>
      <c r="C91" s="1201"/>
      <c r="D91" s="1201"/>
      <c r="E91" s="1201"/>
      <c r="F91" s="1201"/>
      <c r="G91" s="1201"/>
      <c r="H91" s="1201"/>
    </row>
    <row r="92" spans="1:15" ht="12.75" customHeight="1" x14ac:dyDescent="0.25">
      <c r="A92" s="1490" t="s">
        <v>3584</v>
      </c>
      <c r="B92" s="1490"/>
      <c r="C92" s="1490"/>
      <c r="D92" s="1490"/>
      <c r="E92" s="1490"/>
      <c r="F92" s="1490"/>
      <c r="G92" s="1490"/>
      <c r="H92" s="1490"/>
      <c r="I92" s="1490"/>
    </row>
    <row r="93" spans="1:15" ht="8.25" customHeight="1" x14ac:dyDescent="0.25">
      <c r="A93" s="1482"/>
      <c r="B93" s="1482"/>
      <c r="C93" s="1482"/>
      <c r="D93" s="1483"/>
      <c r="E93" s="1483"/>
      <c r="F93" s="1483"/>
      <c r="G93" s="1483"/>
      <c r="H93" s="1483"/>
      <c r="I93" s="1483"/>
    </row>
    <row r="94" spans="1:15" ht="15" customHeight="1" x14ac:dyDescent="0.25">
      <c r="A94" s="1267" t="s">
        <v>2572</v>
      </c>
      <c r="B94" s="1267"/>
      <c r="C94" s="1267"/>
      <c r="D94" s="1270">
        <f>IF(Input!E47="",50%,1-Input!E47)</f>
        <v>0.5</v>
      </c>
      <c r="E94" s="1483" t="s">
        <v>3752</v>
      </c>
      <c r="F94" s="1483"/>
      <c r="G94" s="1483"/>
      <c r="H94" s="1483"/>
      <c r="I94" s="1483"/>
    </row>
    <row r="95" spans="1:15" ht="8.25" customHeight="1" x14ac:dyDescent="0.25">
      <c r="A95" s="1267"/>
      <c r="B95" s="1267"/>
      <c r="C95" s="1267"/>
      <c r="D95" s="1268"/>
      <c r="E95" s="1268"/>
      <c r="F95" s="1268"/>
      <c r="G95" s="1268"/>
      <c r="H95" s="1268"/>
      <c r="I95" s="1268"/>
    </row>
    <row r="96" spans="1:15" x14ac:dyDescent="0.25">
      <c r="A96" s="1184" t="s">
        <v>3544</v>
      </c>
      <c r="B96" s="1184"/>
      <c r="C96" s="1178" t="str">
        <f>VLOOKUP(Input!K5,Input!L5:M7,2,FALSE)</f>
        <v>SE: Eintritt vor 50</v>
      </c>
      <c r="D96" s="1201"/>
      <c r="E96" s="1201"/>
      <c r="F96" s="1201"/>
      <c r="G96" s="1201"/>
      <c r="H96" s="1201"/>
    </row>
    <row r="97" spans="1:9" x14ac:dyDescent="0.25">
      <c r="A97" s="1184" t="s">
        <v>3162</v>
      </c>
      <c r="B97" s="1184"/>
      <c r="C97" s="1178" t="str">
        <f>'Ausweis-Certificat'!F9</f>
        <v>22011001</v>
      </c>
      <c r="D97" s="1201"/>
      <c r="E97" s="1201"/>
      <c r="F97" s="1201"/>
      <c r="G97" s="1201"/>
      <c r="H97" s="1201"/>
    </row>
    <row r="98" spans="1:9" x14ac:dyDescent="0.25">
      <c r="A98" s="1184" t="s">
        <v>3545</v>
      </c>
      <c r="B98" s="1184"/>
      <c r="C98" s="1208">
        <f>'Ausweis-Certificat'!E9</f>
        <v>423</v>
      </c>
      <c r="D98" s="1201"/>
      <c r="E98" s="1201"/>
      <c r="F98" s="1201"/>
      <c r="G98" s="1201"/>
      <c r="H98" s="1201"/>
    </row>
    <row r="99" spans="1:9" x14ac:dyDescent="0.25">
      <c r="A99" s="1184" t="s">
        <v>3546</v>
      </c>
      <c r="B99" s="1184"/>
      <c r="C99" s="1207">
        <f>Input!K32</f>
        <v>25</v>
      </c>
      <c r="D99" s="1201"/>
      <c r="E99" s="1201"/>
      <c r="F99" s="1201"/>
      <c r="G99" s="1201"/>
      <c r="H99" s="1201"/>
    </row>
    <row r="100" spans="1:9" x14ac:dyDescent="0.25">
      <c r="A100" s="1184" t="str">
        <f>IF(Wertebereich!B68=1,"","Rendita AI")</f>
        <v>Rendita AI</v>
      </c>
      <c r="B100" s="1184"/>
      <c r="C100" s="1207" t="str">
        <f>IF(Wertebereich!B68=1,"",CONCATENATE(VLOOKUP(Wertebereich!B68,Wertebereich!B70:C82,2,FALSE)*100,"%"))</f>
        <v>40%</v>
      </c>
      <c r="D100" s="1201"/>
      <c r="E100" s="1201"/>
      <c r="F100" s="1201"/>
      <c r="G100" s="1201"/>
      <c r="H100" s="1201"/>
    </row>
    <row r="101" spans="1:9" ht="15" customHeight="1" x14ac:dyDescent="0.25">
      <c r="A101" s="1184" t="str">
        <f>IF(Wertebereich!B44=1,"","Capitale decesso")</f>
        <v/>
      </c>
      <c r="B101" s="1184"/>
      <c r="C101" s="1207" t="str">
        <f>IF(Wertebereich!B44=1,"",IF(Wertebereich!B44=6,"Avere di vecchiaia",CONCATENATE(VLOOKUP(Wertebereich!B44,Wertebereich!B46:C49,2,FALSE)*100,"%")))</f>
        <v/>
      </c>
      <c r="D101" s="1201"/>
      <c r="E101" s="1201"/>
      <c r="F101" s="1201"/>
      <c r="G101" s="1201"/>
      <c r="H101" s="1201"/>
    </row>
    <row r="102" spans="1:9" x14ac:dyDescent="0.25">
      <c r="A102" s="1184" t="s">
        <v>3547</v>
      </c>
      <c r="B102" s="1184"/>
      <c r="C102" s="1207" t="str">
        <f>'Ausweis-Certificat'!J9</f>
        <v>102_</v>
      </c>
      <c r="D102" s="1201"/>
      <c r="E102" s="1201"/>
      <c r="F102" s="1201"/>
      <c r="G102" s="1201"/>
      <c r="H102" s="1201"/>
      <c r="I102" s="1219" t="s">
        <v>74</v>
      </c>
    </row>
    <row r="103" spans="1:9" ht="12.75" customHeight="1" x14ac:dyDescent="0.25">
      <c r="A103" s="1201"/>
      <c r="B103" s="1201"/>
      <c r="C103" s="1201"/>
      <c r="D103" s="1201"/>
      <c r="E103" s="1201"/>
      <c r="F103" s="1201"/>
      <c r="G103" s="1201"/>
      <c r="H103" s="1201"/>
      <c r="I103" s="1219"/>
    </row>
    <row r="104" spans="1:9" ht="12.75" customHeight="1" x14ac:dyDescent="0.25">
      <c r="A104" s="1215" t="s">
        <v>245</v>
      </c>
      <c r="B104" s="1484" t="s">
        <v>3585</v>
      </c>
      <c r="C104" s="1484"/>
      <c r="D104" s="1484"/>
      <c r="E104" s="1484"/>
      <c r="F104" s="1484"/>
      <c r="G104" s="1484"/>
      <c r="H104" s="1484"/>
      <c r="I104" s="1484"/>
    </row>
    <row r="105" spans="1:9" ht="6.75" customHeight="1" x14ac:dyDescent="0.25">
      <c r="A105" s="1485"/>
      <c r="B105" s="1486"/>
      <c r="C105" s="1486"/>
      <c r="D105" s="1486"/>
      <c r="E105" s="1486"/>
      <c r="F105" s="1486"/>
      <c r="G105" s="1486"/>
      <c r="H105" s="1486"/>
    </row>
    <row r="106" spans="1:9" ht="49.5" customHeight="1" x14ac:dyDescent="0.25">
      <c r="A106" s="1487" t="s">
        <v>3586</v>
      </c>
      <c r="B106" s="1487"/>
      <c r="C106" s="1487"/>
      <c r="D106" s="1487"/>
      <c r="E106" s="1487"/>
      <c r="F106" s="1487"/>
      <c r="G106" s="1487"/>
      <c r="H106" s="1487"/>
      <c r="I106" s="1487"/>
    </row>
    <row r="107" spans="1:9" ht="12.75" customHeight="1" x14ac:dyDescent="0.25">
      <c r="A107" s="1230"/>
      <c r="B107" s="1230"/>
      <c r="C107" s="1230"/>
      <c r="D107" s="1230"/>
      <c r="E107" s="1230"/>
      <c r="F107" s="1230"/>
      <c r="G107" s="1230"/>
      <c r="H107" s="1230"/>
      <c r="I107" s="1230"/>
    </row>
    <row r="108" spans="1:9" x14ac:dyDescent="0.25">
      <c r="A108" s="1201" t="s">
        <v>3587</v>
      </c>
      <c r="B108" s="1201"/>
      <c r="C108" s="1201"/>
      <c r="D108" s="1201"/>
      <c r="E108" s="1201"/>
      <c r="F108" s="1201" t="s">
        <v>3588</v>
      </c>
      <c r="G108" s="1201"/>
      <c r="H108" s="1201"/>
    </row>
    <row r="109" spans="1:9" ht="39" customHeight="1" x14ac:dyDescent="0.25">
      <c r="A109" s="1435" t="s">
        <v>47</v>
      </c>
      <c r="B109" s="1435"/>
      <c r="C109" s="1435"/>
      <c r="D109" s="1435"/>
      <c r="E109" s="1201"/>
      <c r="F109" s="1435" t="s">
        <v>32</v>
      </c>
      <c r="G109" s="1435"/>
      <c r="H109" s="1435"/>
      <c r="I109" s="1435"/>
    </row>
    <row r="110" spans="1:9" ht="3" customHeight="1" x14ac:dyDescent="0.25">
      <c r="A110" s="1201"/>
      <c r="B110" s="1201"/>
      <c r="C110" s="1201"/>
      <c r="D110" s="1201"/>
      <c r="E110" s="1201"/>
      <c r="F110" s="1201"/>
      <c r="G110" s="1201"/>
      <c r="H110" s="1201"/>
    </row>
    <row r="111" spans="1:9" x14ac:dyDescent="0.25">
      <c r="A111" s="1201" t="s">
        <v>3589</v>
      </c>
      <c r="B111" s="1201"/>
      <c r="C111" s="1201"/>
      <c r="D111" s="1201"/>
      <c r="E111" s="1201"/>
      <c r="F111" s="1201" t="s">
        <v>3590</v>
      </c>
      <c r="G111" s="1201"/>
      <c r="H111" s="1201"/>
    </row>
    <row r="112" spans="1:9" x14ac:dyDescent="0.25">
      <c r="A112" s="1201" t="s">
        <v>3572</v>
      </c>
      <c r="B112" s="1201"/>
      <c r="C112" s="1201"/>
      <c r="D112" s="1201"/>
      <c r="E112" s="1201"/>
      <c r="F112" s="1201" t="s">
        <v>3572</v>
      </c>
      <c r="G112" s="1201"/>
      <c r="H112" s="1201"/>
    </row>
    <row r="113" spans="1:9" ht="39" customHeight="1" x14ac:dyDescent="0.25">
      <c r="A113" s="1435" t="s">
        <v>47</v>
      </c>
      <c r="B113" s="1435"/>
      <c r="C113" s="1435"/>
      <c r="D113" s="1435"/>
      <c r="E113" s="1201"/>
      <c r="F113" s="1435" t="s">
        <v>32</v>
      </c>
      <c r="G113" s="1435"/>
      <c r="H113" s="1435"/>
      <c r="I113" s="1435"/>
    </row>
    <row r="114" spans="1:9" ht="11.25" customHeight="1" x14ac:dyDescent="0.25">
      <c r="A114" s="1201"/>
      <c r="B114" s="1201"/>
      <c r="C114" s="1201"/>
      <c r="D114" s="1201"/>
      <c r="E114" s="1201"/>
      <c r="F114" s="1201"/>
      <c r="G114" s="1201"/>
      <c r="H114" s="1201"/>
    </row>
    <row r="115" spans="1:9" x14ac:dyDescent="0.25">
      <c r="A115" s="1201" t="s">
        <v>3553</v>
      </c>
      <c r="B115" s="1201"/>
      <c r="C115" s="1201"/>
      <c r="D115" s="1201"/>
      <c r="E115" s="1201"/>
      <c r="F115" s="1201" t="s">
        <v>3553</v>
      </c>
      <c r="G115" s="1201"/>
      <c r="H115" s="1201"/>
    </row>
    <row r="116" spans="1:9" ht="39" customHeight="1" x14ac:dyDescent="0.25">
      <c r="A116" s="1480" t="s">
        <v>47</v>
      </c>
      <c r="B116" s="1480"/>
      <c r="C116" s="1480"/>
      <c r="D116" s="1480"/>
      <c r="E116" s="1201"/>
      <c r="F116" s="1480" t="s">
        <v>32</v>
      </c>
      <c r="G116" s="1480"/>
      <c r="H116" s="1480"/>
      <c r="I116" s="1480"/>
    </row>
    <row r="117" spans="1:9" s="1232" customFormat="1" x14ac:dyDescent="0.25">
      <c r="A117" s="1231"/>
      <c r="B117" s="1231"/>
      <c r="C117" s="1231"/>
      <c r="D117" s="1231"/>
      <c r="E117" s="1231"/>
      <c r="F117" s="1231"/>
      <c r="G117" s="1231"/>
      <c r="H117" s="1231"/>
    </row>
    <row r="118" spans="1:9" x14ac:dyDescent="0.25">
      <c r="A118" s="1201"/>
      <c r="B118" s="1201"/>
      <c r="C118" s="1201"/>
      <c r="D118" s="1201"/>
      <c r="E118" s="1201"/>
      <c r="F118" s="1201"/>
      <c r="G118" s="1201"/>
      <c r="H118" s="1201"/>
    </row>
    <row r="119" spans="1:9" x14ac:dyDescent="0.25">
      <c r="A119" s="1201"/>
      <c r="B119" s="1201"/>
      <c r="C119" s="1201"/>
      <c r="D119" s="1201"/>
      <c r="E119" s="1201"/>
      <c r="F119" s="1201"/>
      <c r="G119" s="1201"/>
      <c r="H119" s="1201"/>
    </row>
    <row r="120" spans="1:9" x14ac:dyDescent="0.25">
      <c r="A120" s="1201"/>
      <c r="B120" s="1201"/>
      <c r="C120" s="1201"/>
      <c r="D120" s="1201"/>
      <c r="E120" s="1201"/>
      <c r="F120" s="1201"/>
      <c r="G120" s="1201"/>
      <c r="H120" s="1201"/>
    </row>
    <row r="121" spans="1:9" x14ac:dyDescent="0.25">
      <c r="A121" s="1201"/>
      <c r="B121" s="1201"/>
      <c r="C121" s="1201"/>
      <c r="D121" s="1201"/>
      <c r="E121" s="1201"/>
      <c r="F121" s="1201"/>
      <c r="G121" s="1201"/>
      <c r="H121" s="1201"/>
    </row>
    <row r="122" spans="1:9" x14ac:dyDescent="0.25">
      <c r="A122" s="1201"/>
      <c r="B122" s="1201"/>
      <c r="C122" s="1201"/>
      <c r="D122" s="1201"/>
      <c r="E122" s="1201"/>
      <c r="F122" s="1201"/>
      <c r="G122" s="1201"/>
      <c r="H122" s="1201"/>
    </row>
    <row r="123" spans="1:9" x14ac:dyDescent="0.25">
      <c r="A123" s="1201"/>
      <c r="B123" s="1201"/>
      <c r="C123" s="1201"/>
      <c r="D123" s="1201"/>
      <c r="E123" s="1201"/>
      <c r="F123" s="1201"/>
      <c r="G123" s="1201"/>
      <c r="H123" s="1201"/>
    </row>
    <row r="124" spans="1:9" x14ac:dyDescent="0.25">
      <c r="A124" s="1201"/>
      <c r="B124" s="1201"/>
      <c r="C124" s="1201"/>
      <c r="D124" s="1201"/>
      <c r="E124" s="1201"/>
      <c r="F124" s="1201"/>
      <c r="G124" s="1201"/>
      <c r="H124" s="1201"/>
    </row>
    <row r="125" spans="1:9" x14ac:dyDescent="0.25">
      <c r="A125" s="1201"/>
      <c r="B125" s="1201"/>
      <c r="C125" s="1201"/>
      <c r="D125" s="1201"/>
      <c r="E125" s="1201"/>
      <c r="F125" s="1201"/>
      <c r="G125" s="1201"/>
      <c r="H125" s="1201"/>
    </row>
    <row r="126" spans="1:9" x14ac:dyDescent="0.25">
      <c r="A126" s="1201"/>
      <c r="B126" s="1201"/>
      <c r="C126" s="1201"/>
      <c r="D126" s="1201"/>
      <c r="E126" s="1201"/>
      <c r="F126" s="1201"/>
      <c r="G126" s="1201"/>
      <c r="H126" s="1201"/>
    </row>
    <row r="127" spans="1:9" x14ac:dyDescent="0.25">
      <c r="A127" s="1201"/>
      <c r="B127" s="1201"/>
      <c r="C127" s="1201"/>
      <c r="D127" s="1201"/>
      <c r="E127" s="1201"/>
      <c r="F127" s="1201"/>
      <c r="G127" s="1201"/>
      <c r="H127" s="1201"/>
    </row>
    <row r="128" spans="1:9" x14ac:dyDescent="0.25">
      <c r="A128" s="1201"/>
      <c r="B128" s="1201"/>
      <c r="C128" s="1201"/>
      <c r="D128" s="1201"/>
      <c r="E128" s="1201"/>
      <c r="F128" s="1201"/>
      <c r="G128" s="1201"/>
      <c r="H128" s="1201"/>
    </row>
    <row r="129" spans="1:8" x14ac:dyDescent="0.25">
      <c r="A129" s="1201"/>
      <c r="B129" s="1201"/>
      <c r="C129" s="1201"/>
      <c r="D129" s="1201"/>
      <c r="E129" s="1201"/>
      <c r="F129" s="1201"/>
      <c r="G129" s="1201"/>
      <c r="H129" s="1201"/>
    </row>
    <row r="130" spans="1:8" x14ac:dyDescent="0.25">
      <c r="A130" s="1201"/>
      <c r="B130" s="1201"/>
      <c r="C130" s="1201"/>
      <c r="D130" s="1201"/>
      <c r="E130" s="1201"/>
      <c r="F130" s="1201"/>
      <c r="G130" s="1201"/>
      <c r="H130" s="1201"/>
    </row>
    <row r="131" spans="1:8" x14ac:dyDescent="0.25">
      <c r="A131" s="1201"/>
      <c r="B131" s="1201"/>
      <c r="C131" s="1201"/>
      <c r="D131" s="1201"/>
      <c r="E131" s="1201"/>
      <c r="F131" s="1201"/>
      <c r="G131" s="1201"/>
      <c r="H131" s="1201"/>
    </row>
    <row r="132" spans="1:8" x14ac:dyDescent="0.25">
      <c r="A132" s="1201"/>
      <c r="B132" s="1201"/>
      <c r="C132" s="1201"/>
      <c r="D132" s="1201"/>
      <c r="E132" s="1201"/>
      <c r="F132" s="1201"/>
      <c r="G132" s="1201"/>
      <c r="H132" s="1201"/>
    </row>
    <row r="133" spans="1:8" x14ac:dyDescent="0.25">
      <c r="A133" s="1201"/>
      <c r="B133" s="1201"/>
      <c r="C133" s="1201"/>
      <c r="D133" s="1201"/>
      <c r="E133" s="1201"/>
      <c r="F133" s="1201"/>
      <c r="G133" s="1201"/>
      <c r="H133" s="1201"/>
    </row>
    <row r="134" spans="1:8" x14ac:dyDescent="0.25">
      <c r="A134" s="1201"/>
      <c r="B134" s="1201"/>
      <c r="C134" s="1201"/>
      <c r="D134" s="1201"/>
      <c r="E134" s="1201"/>
      <c r="F134" s="1201"/>
      <c r="G134" s="1201"/>
      <c r="H134" s="1201"/>
    </row>
    <row r="135" spans="1:8" x14ac:dyDescent="0.25">
      <c r="A135" s="1201"/>
      <c r="B135" s="1201"/>
      <c r="C135" s="1201"/>
      <c r="D135" s="1201"/>
      <c r="E135" s="1201"/>
      <c r="F135" s="1201"/>
      <c r="G135" s="1201"/>
      <c r="H135" s="1201"/>
    </row>
    <row r="136" spans="1:8" x14ac:dyDescent="0.25">
      <c r="A136" s="1201"/>
      <c r="B136" s="1201"/>
      <c r="C136" s="1201"/>
      <c r="D136" s="1201"/>
      <c r="E136" s="1201"/>
      <c r="F136" s="1201"/>
      <c r="G136" s="1201"/>
      <c r="H136" s="1201"/>
    </row>
    <row r="137" spans="1:8" x14ac:dyDescent="0.25">
      <c r="A137" s="1201"/>
      <c r="B137" s="1201"/>
      <c r="C137" s="1201"/>
      <c r="D137" s="1201"/>
      <c r="E137" s="1201"/>
      <c r="F137" s="1201"/>
      <c r="G137" s="1201"/>
      <c r="H137" s="1201"/>
    </row>
    <row r="138" spans="1:8" x14ac:dyDescent="0.25">
      <c r="A138" s="1201"/>
      <c r="B138" s="1201"/>
      <c r="C138" s="1201"/>
      <c r="D138" s="1201"/>
      <c r="E138" s="1201"/>
      <c r="F138" s="1201"/>
      <c r="G138" s="1201"/>
      <c r="H138" s="1201"/>
    </row>
    <row r="139" spans="1:8" x14ac:dyDescent="0.25">
      <c r="A139" s="1201"/>
      <c r="B139" s="1201"/>
      <c r="C139" s="1201"/>
      <c r="D139" s="1201"/>
      <c r="E139" s="1201"/>
      <c r="F139" s="1201"/>
      <c r="G139" s="1201"/>
      <c r="H139" s="1201"/>
    </row>
    <row r="140" spans="1:8" x14ac:dyDescent="0.25">
      <c r="A140" s="1201"/>
      <c r="B140" s="1201"/>
      <c r="C140" s="1201"/>
      <c r="D140" s="1201"/>
      <c r="E140" s="1201"/>
      <c r="F140" s="1201"/>
      <c r="G140" s="1201"/>
      <c r="H140" s="1201"/>
    </row>
    <row r="141" spans="1:8" x14ac:dyDescent="0.25">
      <c r="A141" s="1201"/>
      <c r="B141" s="1201"/>
      <c r="C141" s="1201"/>
      <c r="D141" s="1201"/>
      <c r="E141" s="1201"/>
      <c r="F141" s="1201"/>
      <c r="G141" s="1201"/>
      <c r="H141" s="1201"/>
    </row>
    <row r="142" spans="1:8" x14ac:dyDescent="0.25">
      <c r="A142" s="1201"/>
      <c r="B142" s="1201"/>
      <c r="C142" s="1201"/>
      <c r="D142" s="1201"/>
      <c r="E142" s="1201"/>
      <c r="F142" s="1201"/>
      <c r="G142" s="1201"/>
      <c r="H142" s="1201"/>
    </row>
    <row r="143" spans="1:8" x14ac:dyDescent="0.25">
      <c r="A143" s="1201"/>
      <c r="B143" s="1201"/>
      <c r="C143" s="1201"/>
      <c r="D143" s="1201"/>
      <c r="E143" s="1201"/>
      <c r="F143" s="1201"/>
      <c r="G143" s="1201"/>
      <c r="H143" s="1201"/>
    </row>
    <row r="144" spans="1:8" x14ac:dyDescent="0.25">
      <c r="A144" s="1201"/>
      <c r="B144" s="1201"/>
      <c r="C144" s="1201"/>
      <c r="D144" s="1201"/>
      <c r="E144" s="1201"/>
      <c r="F144" s="1201"/>
      <c r="G144" s="1201"/>
      <c r="H144" s="1201"/>
    </row>
    <row r="145" spans="1:9" x14ac:dyDescent="0.25">
      <c r="A145" s="1201"/>
      <c r="B145" s="1201"/>
      <c r="C145" s="1201"/>
      <c r="D145" s="1201"/>
      <c r="E145" s="1201"/>
      <c r="F145" s="1201"/>
      <c r="G145" s="1201"/>
      <c r="H145" s="1201"/>
    </row>
    <row r="146" spans="1:9" x14ac:dyDescent="0.25">
      <c r="A146" s="1201"/>
      <c r="B146" s="1201"/>
      <c r="C146" s="1201"/>
      <c r="D146" s="1201"/>
      <c r="E146" s="1201"/>
      <c r="F146" s="1201"/>
      <c r="G146" s="1201"/>
      <c r="H146" s="1201"/>
    </row>
    <row r="147" spans="1:9" x14ac:dyDescent="0.25">
      <c r="A147" s="1201"/>
      <c r="B147" s="1201"/>
      <c r="C147" s="1201"/>
      <c r="D147" s="1201"/>
      <c r="E147" s="1201"/>
      <c r="F147" s="1201"/>
      <c r="G147" s="1201"/>
      <c r="H147" s="1201"/>
    </row>
    <row r="148" spans="1:9" x14ac:dyDescent="0.25">
      <c r="A148" s="1201"/>
      <c r="B148" s="1201"/>
      <c r="C148" s="1201"/>
      <c r="D148" s="1201"/>
      <c r="E148" s="1201"/>
      <c r="F148" s="1201"/>
      <c r="G148" s="1201"/>
      <c r="H148" s="1201"/>
    </row>
    <row r="149" spans="1:9" x14ac:dyDescent="0.25">
      <c r="A149" s="1201"/>
      <c r="B149" s="1201"/>
      <c r="C149" s="1201"/>
      <c r="D149" s="1201"/>
      <c r="E149" s="1201"/>
      <c r="F149" s="1201"/>
      <c r="G149" s="1201"/>
      <c r="H149" s="1201"/>
    </row>
    <row r="150" spans="1:9" x14ac:dyDescent="0.25">
      <c r="A150" s="1201"/>
      <c r="B150" s="1201"/>
      <c r="C150" s="1201"/>
      <c r="D150" s="1201"/>
      <c r="E150" s="1201"/>
      <c r="F150" s="1201"/>
      <c r="G150" s="1201"/>
      <c r="H150" s="1201"/>
    </row>
    <row r="151" spans="1:9" x14ac:dyDescent="0.25">
      <c r="A151" s="1201"/>
      <c r="B151" s="1201"/>
      <c r="C151" s="1201"/>
      <c r="D151" s="1201"/>
      <c r="E151" s="1201"/>
      <c r="F151" s="1201"/>
      <c r="G151" s="1201"/>
      <c r="H151" s="1201"/>
    </row>
    <row r="152" spans="1:9" x14ac:dyDescent="0.25">
      <c r="A152" s="1201"/>
      <c r="B152" s="1201"/>
      <c r="C152" s="1201"/>
      <c r="D152" s="1201"/>
      <c r="E152" s="1201"/>
      <c r="F152" s="1201"/>
      <c r="G152" s="1201"/>
      <c r="H152" s="1201"/>
    </row>
    <row r="153" spans="1:9" x14ac:dyDescent="0.25">
      <c r="A153" s="1201"/>
      <c r="B153" s="1201"/>
      <c r="C153" s="1201"/>
      <c r="D153" s="1201"/>
      <c r="E153" s="1201"/>
      <c r="F153" s="1201"/>
      <c r="G153" s="1201"/>
      <c r="H153" s="1201"/>
    </row>
    <row r="154" spans="1:9" x14ac:dyDescent="0.25">
      <c r="A154" s="1201"/>
      <c r="B154" s="1201"/>
      <c r="C154" s="1201"/>
      <c r="D154" s="1201"/>
      <c r="E154" s="1201"/>
      <c r="F154" s="1201"/>
      <c r="G154" s="1201"/>
      <c r="H154" s="1201"/>
    </row>
    <row r="155" spans="1:9" x14ac:dyDescent="0.25">
      <c r="A155" s="1201"/>
      <c r="B155" s="1201"/>
      <c r="C155" s="1201"/>
      <c r="D155" s="1201"/>
      <c r="E155" s="1201"/>
      <c r="F155" s="1201"/>
      <c r="G155" s="1201"/>
      <c r="H155" s="1201"/>
    </row>
    <row r="156" spans="1:9" x14ac:dyDescent="0.25">
      <c r="A156" s="1201"/>
      <c r="B156" s="1201"/>
      <c r="C156" s="1201"/>
      <c r="D156" s="1201"/>
      <c r="E156" s="1201"/>
      <c r="F156" s="1201"/>
      <c r="G156" s="1201"/>
      <c r="H156" s="1201"/>
    </row>
    <row r="157" spans="1:9" x14ac:dyDescent="0.25">
      <c r="A157" s="1201"/>
      <c r="B157" s="1201"/>
      <c r="C157" s="1201"/>
      <c r="D157" s="1201"/>
      <c r="E157" s="1201"/>
      <c r="F157" s="1201"/>
      <c r="G157" s="1201"/>
      <c r="H157" s="1201"/>
    </row>
    <row r="158" spans="1:9" ht="9" customHeight="1" x14ac:dyDescent="0.25">
      <c r="A158" s="1201"/>
      <c r="B158" s="1201"/>
      <c r="C158" s="1201"/>
      <c r="D158" s="1201"/>
      <c r="E158" s="1201"/>
      <c r="F158" s="1201"/>
      <c r="G158" s="1201"/>
      <c r="H158" s="1201"/>
      <c r="I158" s="1219" t="s">
        <v>75</v>
      </c>
    </row>
    <row r="159" spans="1:9" x14ac:dyDescent="0.25">
      <c r="A159" s="1201"/>
      <c r="B159" s="1201"/>
      <c r="C159" s="1201"/>
      <c r="D159" s="1201"/>
      <c r="E159" s="1201"/>
      <c r="F159" s="1201"/>
      <c r="G159" s="1201"/>
      <c r="H159" s="1201"/>
    </row>
    <row r="160" spans="1:9" x14ac:dyDescent="0.25">
      <c r="A160" s="1201"/>
      <c r="B160" s="1201"/>
      <c r="C160" s="1201"/>
      <c r="D160" s="1201"/>
      <c r="E160" s="1201"/>
      <c r="F160" s="1201"/>
      <c r="G160" s="1201"/>
      <c r="H160" s="1201"/>
    </row>
    <row r="161" spans="1:8" x14ac:dyDescent="0.25">
      <c r="A161" s="1201"/>
      <c r="B161" s="1201"/>
      <c r="C161" s="1201"/>
      <c r="D161" s="1201"/>
      <c r="E161" s="1201"/>
      <c r="F161" s="1201"/>
      <c r="G161" s="1201"/>
      <c r="H161" s="1201"/>
    </row>
    <row r="162" spans="1:8" x14ac:dyDescent="0.25">
      <c r="A162" s="1201"/>
      <c r="B162" s="1201"/>
      <c r="C162" s="1201"/>
      <c r="D162" s="1201"/>
      <c r="E162" s="1201"/>
      <c r="F162" s="1201"/>
      <c r="G162" s="1201"/>
      <c r="H162" s="1201"/>
    </row>
    <row r="163" spans="1:8" x14ac:dyDescent="0.25">
      <c r="A163" s="1201"/>
      <c r="B163" s="1201"/>
      <c r="C163" s="1201"/>
      <c r="D163" s="1201"/>
      <c r="E163" s="1201"/>
      <c r="F163" s="1201"/>
      <c r="G163" s="1201"/>
      <c r="H163" s="1201"/>
    </row>
    <row r="164" spans="1:8" x14ac:dyDescent="0.25">
      <c r="A164" s="1201"/>
      <c r="B164" s="1201"/>
      <c r="C164" s="1201"/>
      <c r="D164" s="1201"/>
      <c r="E164" s="1201"/>
      <c r="F164" s="1201"/>
      <c r="G164" s="1201"/>
      <c r="H164" s="1201"/>
    </row>
    <row r="165" spans="1:8" x14ac:dyDescent="0.25">
      <c r="A165" s="1201"/>
      <c r="B165" s="1201"/>
      <c r="C165" s="1201"/>
      <c r="D165" s="1201"/>
      <c r="E165" s="1201"/>
      <c r="F165" s="1201"/>
      <c r="G165" s="1201"/>
      <c r="H165" s="1201"/>
    </row>
    <row r="166" spans="1:8" x14ac:dyDescent="0.25">
      <c r="A166" s="1201"/>
      <c r="B166" s="1201"/>
      <c r="C166" s="1201"/>
      <c r="D166" s="1201"/>
      <c r="E166" s="1201"/>
      <c r="F166" s="1201"/>
      <c r="G166" s="1201"/>
      <c r="H166" s="1201"/>
    </row>
    <row r="167" spans="1:8" x14ac:dyDescent="0.25">
      <c r="A167" s="1201"/>
      <c r="B167" s="1201"/>
      <c r="C167" s="1201"/>
      <c r="D167" s="1201"/>
      <c r="E167" s="1201"/>
      <c r="F167" s="1201"/>
      <c r="G167" s="1201"/>
      <c r="H167" s="1201"/>
    </row>
    <row r="168" spans="1:8" x14ac:dyDescent="0.25">
      <c r="A168" s="1201"/>
      <c r="B168" s="1201"/>
      <c r="C168" s="1201"/>
      <c r="D168" s="1201"/>
      <c r="E168" s="1201"/>
      <c r="F168" s="1201"/>
      <c r="G168" s="1201"/>
      <c r="H168" s="1201"/>
    </row>
    <row r="169" spans="1:8" x14ac:dyDescent="0.25">
      <c r="A169" s="1201"/>
      <c r="B169" s="1201"/>
      <c r="C169" s="1201"/>
      <c r="D169" s="1201"/>
      <c r="E169" s="1201"/>
      <c r="F169" s="1201"/>
      <c r="G169" s="1201"/>
      <c r="H169" s="1201"/>
    </row>
    <row r="170" spans="1:8" x14ac:dyDescent="0.25">
      <c r="A170" s="1201"/>
      <c r="B170" s="1201"/>
      <c r="C170" s="1201"/>
      <c r="D170" s="1201"/>
      <c r="E170" s="1201"/>
      <c r="F170" s="1201"/>
      <c r="G170" s="1201"/>
      <c r="H170" s="1201"/>
    </row>
    <row r="171" spans="1:8" x14ac:dyDescent="0.25">
      <c r="A171" s="1201"/>
      <c r="B171" s="1201"/>
      <c r="C171" s="1201"/>
      <c r="D171" s="1201"/>
      <c r="E171" s="1201"/>
      <c r="F171" s="1201"/>
      <c r="G171" s="1201"/>
      <c r="H171" s="1201"/>
    </row>
    <row r="172" spans="1:8" x14ac:dyDescent="0.25">
      <c r="A172" s="1201"/>
      <c r="B172" s="1201"/>
      <c r="C172" s="1201"/>
      <c r="D172" s="1201"/>
      <c r="E172" s="1201"/>
      <c r="F172" s="1201"/>
      <c r="G172" s="1201"/>
      <c r="H172" s="1201"/>
    </row>
    <row r="173" spans="1:8" x14ac:dyDescent="0.25">
      <c r="A173" s="1201"/>
      <c r="B173" s="1201"/>
      <c r="C173" s="1201"/>
      <c r="D173" s="1201"/>
      <c r="E173" s="1201"/>
      <c r="F173" s="1201"/>
      <c r="G173" s="1201"/>
      <c r="H173" s="1201"/>
    </row>
    <row r="174" spans="1:8" x14ac:dyDescent="0.25">
      <c r="A174" s="1201"/>
      <c r="B174" s="1201"/>
      <c r="C174" s="1201"/>
      <c r="D174" s="1201"/>
      <c r="E174" s="1201"/>
      <c r="F174" s="1201"/>
      <c r="G174" s="1201"/>
      <c r="H174" s="1201"/>
    </row>
    <row r="175" spans="1:8" x14ac:dyDescent="0.25">
      <c r="A175" s="1201"/>
      <c r="B175" s="1201"/>
      <c r="C175" s="1201"/>
      <c r="D175" s="1201"/>
      <c r="E175" s="1201"/>
      <c r="F175" s="1201"/>
      <c r="G175" s="1201"/>
      <c r="H175" s="1201"/>
    </row>
    <row r="176" spans="1:8" x14ac:dyDescent="0.25">
      <c r="A176" s="1201"/>
      <c r="B176" s="1201"/>
      <c r="C176" s="1201"/>
      <c r="D176" s="1201"/>
      <c r="E176" s="1201"/>
      <c r="F176" s="1201"/>
      <c r="G176" s="1201"/>
      <c r="H176" s="1201"/>
    </row>
    <row r="177" spans="1:8" x14ac:dyDescent="0.25">
      <c r="A177" s="1201"/>
      <c r="B177" s="1201"/>
      <c r="C177" s="1201"/>
      <c r="D177" s="1201"/>
      <c r="E177" s="1201"/>
      <c r="F177" s="1201"/>
      <c r="G177" s="1201"/>
      <c r="H177" s="1201"/>
    </row>
    <row r="178" spans="1:8" x14ac:dyDescent="0.25">
      <c r="A178" s="1201"/>
      <c r="B178" s="1201"/>
      <c r="C178" s="1201"/>
      <c r="D178" s="1201"/>
      <c r="E178" s="1201"/>
      <c r="F178" s="1201"/>
      <c r="G178" s="1201"/>
      <c r="H178" s="1201"/>
    </row>
    <row r="179" spans="1:8" x14ac:dyDescent="0.25">
      <c r="A179" s="1201"/>
      <c r="B179" s="1201"/>
      <c r="C179" s="1201"/>
      <c r="D179" s="1201"/>
      <c r="E179" s="1201"/>
      <c r="F179" s="1201"/>
      <c r="G179" s="1201"/>
      <c r="H179" s="1201"/>
    </row>
    <row r="180" spans="1:8" x14ac:dyDescent="0.25">
      <c r="A180" s="1201"/>
      <c r="B180" s="1201"/>
      <c r="C180" s="1201"/>
      <c r="D180" s="1201"/>
      <c r="E180" s="1201"/>
      <c r="F180" s="1201"/>
      <c r="G180" s="1201"/>
      <c r="H180" s="1201"/>
    </row>
    <row r="181" spans="1:8" x14ac:dyDescent="0.25">
      <c r="A181" s="1201"/>
      <c r="B181" s="1201"/>
      <c r="C181" s="1201"/>
      <c r="D181" s="1201"/>
      <c r="E181" s="1201"/>
      <c r="F181" s="1201"/>
      <c r="G181" s="1201"/>
      <c r="H181" s="1201"/>
    </row>
    <row r="182" spans="1:8" x14ac:dyDescent="0.25">
      <c r="A182" s="1201"/>
      <c r="B182" s="1201"/>
      <c r="C182" s="1201"/>
      <c r="D182" s="1201"/>
      <c r="E182" s="1201"/>
      <c r="F182" s="1201"/>
      <c r="G182" s="1201"/>
      <c r="H182" s="1201"/>
    </row>
    <row r="183" spans="1:8" x14ac:dyDescent="0.25">
      <c r="A183" s="1201"/>
      <c r="B183" s="1201"/>
      <c r="C183" s="1201"/>
      <c r="D183" s="1201"/>
      <c r="E183" s="1201"/>
      <c r="F183" s="1201"/>
      <c r="G183" s="1201"/>
      <c r="H183" s="1201"/>
    </row>
    <row r="184" spans="1:8" x14ac:dyDescent="0.25">
      <c r="A184" s="1201"/>
      <c r="B184" s="1201"/>
      <c r="C184" s="1201"/>
      <c r="D184" s="1201"/>
      <c r="E184" s="1201"/>
      <c r="F184" s="1201"/>
      <c r="G184" s="1201"/>
      <c r="H184" s="1201"/>
    </row>
    <row r="185" spans="1:8" x14ac:dyDescent="0.25">
      <c r="A185" s="1201"/>
      <c r="B185" s="1201"/>
      <c r="C185" s="1201"/>
      <c r="D185" s="1201"/>
      <c r="E185" s="1201"/>
      <c r="F185" s="1201"/>
      <c r="G185" s="1201"/>
      <c r="H185" s="1201"/>
    </row>
    <row r="186" spans="1:8" x14ac:dyDescent="0.25">
      <c r="A186" s="1201"/>
      <c r="B186" s="1201"/>
      <c r="C186" s="1201"/>
      <c r="D186" s="1201"/>
      <c r="E186" s="1201"/>
      <c r="F186" s="1201"/>
      <c r="G186" s="1201"/>
      <c r="H186" s="1201"/>
    </row>
    <row r="187" spans="1:8" x14ac:dyDescent="0.25">
      <c r="A187" s="1201"/>
      <c r="B187" s="1201"/>
      <c r="C187" s="1201"/>
      <c r="D187" s="1201"/>
      <c r="E187" s="1201"/>
      <c r="F187" s="1201"/>
      <c r="G187" s="1201"/>
      <c r="H187" s="1201"/>
    </row>
    <row r="188" spans="1:8" x14ac:dyDescent="0.25">
      <c r="A188" s="1201"/>
      <c r="B188" s="1201"/>
      <c r="C188" s="1201"/>
      <c r="D188" s="1201"/>
      <c r="E188" s="1201"/>
      <c r="F188" s="1201"/>
      <c r="G188" s="1201"/>
      <c r="H188" s="1201"/>
    </row>
    <row r="189" spans="1:8" x14ac:dyDescent="0.25">
      <c r="A189" s="1201"/>
      <c r="B189" s="1201"/>
      <c r="C189" s="1201"/>
      <c r="D189" s="1201"/>
      <c r="E189" s="1201"/>
      <c r="F189" s="1201"/>
      <c r="G189" s="1201"/>
      <c r="H189" s="1201"/>
    </row>
    <row r="190" spans="1:8" x14ac:dyDescent="0.25">
      <c r="A190" s="1201"/>
      <c r="B190" s="1201"/>
      <c r="C190" s="1201"/>
      <c r="D190" s="1201"/>
      <c r="E190" s="1201"/>
      <c r="F190" s="1201"/>
      <c r="G190" s="1201"/>
      <c r="H190" s="1201"/>
    </row>
    <row r="191" spans="1:8" x14ac:dyDescent="0.25">
      <c r="A191" s="1201"/>
      <c r="B191" s="1201"/>
      <c r="C191" s="1201"/>
      <c r="D191" s="1201"/>
      <c r="E191" s="1201"/>
      <c r="F191" s="1201"/>
      <c r="G191" s="1201"/>
      <c r="H191" s="1201"/>
    </row>
    <row r="192" spans="1:8" x14ac:dyDescent="0.25">
      <c r="A192" s="1201"/>
      <c r="B192" s="1201"/>
      <c r="C192" s="1201"/>
      <c r="D192" s="1201"/>
      <c r="E192" s="1201"/>
      <c r="F192" s="1201"/>
      <c r="G192" s="1201"/>
      <c r="H192" s="1201"/>
    </row>
    <row r="193" spans="1:8" x14ac:dyDescent="0.25">
      <c r="A193" s="1201"/>
      <c r="B193" s="1201"/>
      <c r="C193" s="1201"/>
      <c r="D193" s="1201"/>
      <c r="E193" s="1201"/>
      <c r="F193" s="1201"/>
      <c r="G193" s="1201"/>
      <c r="H193" s="1201"/>
    </row>
    <row r="194" spans="1:8" x14ac:dyDescent="0.25">
      <c r="A194" s="1201"/>
      <c r="B194" s="1201"/>
      <c r="C194" s="1201"/>
      <c r="D194" s="1201"/>
      <c r="E194" s="1201"/>
      <c r="F194" s="1201"/>
      <c r="G194" s="1201"/>
      <c r="H194" s="1201"/>
    </row>
    <row r="195" spans="1:8" x14ac:dyDescent="0.25">
      <c r="A195" s="1201"/>
      <c r="B195" s="1201"/>
      <c r="C195" s="1201"/>
      <c r="D195" s="1201"/>
      <c r="E195" s="1201"/>
      <c r="F195" s="1201"/>
      <c r="G195" s="1201"/>
      <c r="H195" s="1201"/>
    </row>
    <row r="196" spans="1:8" x14ac:dyDescent="0.25">
      <c r="A196" s="1201"/>
      <c r="B196" s="1201"/>
      <c r="C196" s="1201"/>
      <c r="D196" s="1201"/>
      <c r="E196" s="1201"/>
      <c r="F196" s="1201"/>
      <c r="G196" s="1201"/>
      <c r="H196" s="1201"/>
    </row>
    <row r="197" spans="1:8" x14ac:dyDescent="0.25">
      <c r="A197" s="1201"/>
      <c r="B197" s="1201"/>
      <c r="C197" s="1201"/>
      <c r="D197" s="1201"/>
      <c r="E197" s="1201"/>
      <c r="F197" s="1201"/>
      <c r="G197" s="1201"/>
      <c r="H197" s="1201"/>
    </row>
    <row r="198" spans="1:8" x14ac:dyDescent="0.25">
      <c r="A198" s="1201"/>
      <c r="B198" s="1201"/>
      <c r="C198" s="1201"/>
      <c r="D198" s="1201"/>
      <c r="E198" s="1201"/>
      <c r="F198" s="1201"/>
      <c r="G198" s="1201"/>
      <c r="H198" s="1201"/>
    </row>
    <row r="199" spans="1:8" x14ac:dyDescent="0.25">
      <c r="A199" s="1201"/>
      <c r="B199" s="1201"/>
      <c r="C199" s="1201"/>
      <c r="D199" s="1201"/>
      <c r="E199" s="1201"/>
      <c r="F199" s="1201"/>
      <c r="G199" s="1201"/>
      <c r="H199" s="1201"/>
    </row>
    <row r="200" spans="1:8" x14ac:dyDescent="0.25">
      <c r="A200" s="1201"/>
      <c r="B200" s="1201"/>
      <c r="C200" s="1201"/>
      <c r="D200" s="1201"/>
      <c r="E200" s="1201"/>
      <c r="F200" s="1201"/>
      <c r="G200" s="1201"/>
      <c r="H200" s="1201"/>
    </row>
    <row r="201" spans="1:8" x14ac:dyDescent="0.25">
      <c r="A201" s="1201"/>
      <c r="B201" s="1201"/>
      <c r="C201" s="1201"/>
      <c r="D201" s="1201"/>
      <c r="E201" s="1201"/>
      <c r="F201" s="1201"/>
      <c r="G201" s="1201"/>
      <c r="H201" s="1201"/>
    </row>
    <row r="202" spans="1:8" x14ac:dyDescent="0.25">
      <c r="A202" s="1201"/>
      <c r="B202" s="1201"/>
      <c r="C202" s="1201"/>
      <c r="D202" s="1201"/>
      <c r="E202" s="1201"/>
      <c r="F202" s="1201"/>
      <c r="G202" s="1201"/>
      <c r="H202" s="1201"/>
    </row>
    <row r="203" spans="1:8" x14ac:dyDescent="0.25">
      <c r="A203" s="1201"/>
      <c r="B203" s="1201"/>
      <c r="C203" s="1201"/>
      <c r="D203" s="1201"/>
      <c r="E203" s="1201"/>
      <c r="F203" s="1201"/>
      <c r="G203" s="1201"/>
      <c r="H203" s="1201"/>
    </row>
    <row r="204" spans="1:8" x14ac:dyDescent="0.25">
      <c r="A204" s="1201"/>
      <c r="B204" s="1201"/>
      <c r="C204" s="1201"/>
      <c r="D204" s="1201"/>
      <c r="E204" s="1201"/>
      <c r="F204" s="1201"/>
      <c r="G204" s="1201"/>
      <c r="H204" s="1201"/>
    </row>
    <row r="205" spans="1:8" x14ac:dyDescent="0.25">
      <c r="A205" s="1201"/>
      <c r="B205" s="1201"/>
      <c r="C205" s="1201"/>
      <c r="D205" s="1201"/>
      <c r="E205" s="1201"/>
      <c r="F205" s="1201"/>
      <c r="G205" s="1201"/>
      <c r="H205" s="1201"/>
    </row>
    <row r="206" spans="1:8" x14ac:dyDescent="0.25">
      <c r="A206" s="1201"/>
      <c r="B206" s="1201"/>
      <c r="C206" s="1201"/>
      <c r="D206" s="1201"/>
      <c r="E206" s="1201"/>
      <c r="F206" s="1201"/>
      <c r="G206" s="1201"/>
      <c r="H206" s="1201"/>
    </row>
    <row r="207" spans="1:8" x14ac:dyDescent="0.25">
      <c r="A207" s="1201"/>
      <c r="B207" s="1201"/>
      <c r="C207" s="1201"/>
      <c r="D207" s="1201"/>
      <c r="E207" s="1201"/>
      <c r="F207" s="1201"/>
      <c r="G207" s="1201"/>
      <c r="H207" s="1201"/>
    </row>
    <row r="208" spans="1:8" x14ac:dyDescent="0.25">
      <c r="A208" s="1201"/>
      <c r="B208" s="1201"/>
      <c r="C208" s="1201"/>
      <c r="D208" s="1201"/>
      <c r="E208" s="1201"/>
      <c r="F208" s="1201"/>
      <c r="G208" s="1201"/>
      <c r="H208" s="1201"/>
    </row>
    <row r="209" spans="1:8" x14ac:dyDescent="0.25">
      <c r="A209" s="1201"/>
      <c r="B209" s="1201"/>
      <c r="C209" s="1201"/>
      <c r="D209" s="1201"/>
      <c r="E209" s="1201"/>
      <c r="F209" s="1201"/>
      <c r="G209" s="1201"/>
      <c r="H209" s="1201"/>
    </row>
    <row r="210" spans="1:8" x14ac:dyDescent="0.25">
      <c r="A210" s="1201"/>
      <c r="B210" s="1201"/>
      <c r="C210" s="1201"/>
      <c r="D210" s="1201"/>
      <c r="E210" s="1201"/>
      <c r="F210" s="1201"/>
      <c r="G210" s="1201"/>
      <c r="H210" s="1201"/>
    </row>
    <row r="211" spans="1:8" x14ac:dyDescent="0.25">
      <c r="A211" s="1201"/>
      <c r="B211" s="1201"/>
      <c r="C211" s="1201"/>
      <c r="D211" s="1201"/>
      <c r="E211" s="1201"/>
      <c r="F211" s="1201"/>
      <c r="G211" s="1201"/>
      <c r="H211" s="1201"/>
    </row>
    <row r="212" spans="1:8" x14ac:dyDescent="0.25">
      <c r="A212" s="1201"/>
      <c r="B212" s="1201"/>
      <c r="C212" s="1201"/>
      <c r="D212" s="1201"/>
      <c r="E212" s="1201"/>
      <c r="F212" s="1201"/>
      <c r="G212" s="1201"/>
      <c r="H212" s="1201"/>
    </row>
    <row r="213" spans="1:8" x14ac:dyDescent="0.25">
      <c r="A213" s="1201"/>
      <c r="B213" s="1201"/>
      <c r="C213" s="1201"/>
      <c r="D213" s="1201"/>
      <c r="E213" s="1201"/>
      <c r="F213" s="1201"/>
      <c r="G213" s="1201"/>
      <c r="H213" s="1201"/>
    </row>
    <row r="214" spans="1:8" x14ac:dyDescent="0.25">
      <c r="A214" s="1201"/>
      <c r="B214" s="1201"/>
      <c r="C214" s="1201"/>
      <c r="D214" s="1201"/>
      <c r="E214" s="1201"/>
      <c r="F214" s="1201"/>
      <c r="G214" s="1201"/>
      <c r="H214" s="1201"/>
    </row>
    <row r="215" spans="1:8" x14ac:dyDescent="0.25">
      <c r="A215" s="1201"/>
      <c r="B215" s="1201"/>
      <c r="C215" s="1201"/>
      <c r="D215" s="1201"/>
      <c r="E215" s="1201"/>
      <c r="F215" s="1201"/>
      <c r="G215" s="1201"/>
      <c r="H215" s="1201"/>
    </row>
    <row r="216" spans="1:8" x14ac:dyDescent="0.25">
      <c r="A216" s="1201"/>
      <c r="B216" s="1201"/>
      <c r="C216" s="1201"/>
      <c r="D216" s="1201"/>
      <c r="E216" s="1201"/>
      <c r="F216" s="1201"/>
      <c r="G216" s="1201"/>
      <c r="H216" s="1201"/>
    </row>
    <row r="217" spans="1:8" x14ac:dyDescent="0.25">
      <c r="A217" s="1201"/>
      <c r="B217" s="1201"/>
      <c r="C217" s="1201"/>
      <c r="D217" s="1201"/>
      <c r="E217" s="1201"/>
      <c r="F217" s="1201"/>
      <c r="G217" s="1201"/>
      <c r="H217" s="1201"/>
    </row>
    <row r="218" spans="1:8" x14ac:dyDescent="0.25">
      <c r="A218" s="1201"/>
      <c r="B218" s="1201"/>
      <c r="C218" s="1201"/>
      <c r="D218" s="1201"/>
      <c r="E218" s="1201"/>
      <c r="F218" s="1201"/>
      <c r="G218" s="1201"/>
      <c r="H218" s="1201"/>
    </row>
    <row r="219" spans="1:8" x14ac:dyDescent="0.25">
      <c r="A219" s="1201"/>
      <c r="B219" s="1201"/>
      <c r="C219" s="1201"/>
      <c r="D219" s="1201"/>
      <c r="E219" s="1201"/>
      <c r="F219" s="1201"/>
      <c r="G219" s="1201"/>
      <c r="H219" s="1201"/>
    </row>
    <row r="220" spans="1:8" x14ac:dyDescent="0.25">
      <c r="A220" s="1201"/>
      <c r="B220" s="1201"/>
      <c r="C220" s="1201"/>
      <c r="D220" s="1201"/>
      <c r="E220" s="1201"/>
      <c r="F220" s="1201"/>
      <c r="G220" s="1201"/>
      <c r="H220" s="1201"/>
    </row>
    <row r="221" spans="1:8" x14ac:dyDescent="0.25">
      <c r="A221" s="1201"/>
      <c r="B221" s="1201"/>
      <c r="C221" s="1201"/>
      <c r="D221" s="1201"/>
      <c r="E221" s="1201"/>
      <c r="F221" s="1201"/>
      <c r="G221" s="1201"/>
      <c r="H221" s="1201"/>
    </row>
    <row r="222" spans="1:8" x14ac:dyDescent="0.25">
      <c r="A222" s="1201"/>
      <c r="B222" s="1201"/>
      <c r="C222" s="1201"/>
      <c r="D222" s="1201"/>
      <c r="E222" s="1201"/>
      <c r="F222" s="1201"/>
      <c r="G222" s="1201"/>
      <c r="H222" s="1201"/>
    </row>
    <row r="223" spans="1:8" x14ac:dyDescent="0.25">
      <c r="A223" s="1201"/>
      <c r="B223" s="1201"/>
      <c r="C223" s="1201"/>
      <c r="D223" s="1201"/>
      <c r="E223" s="1201"/>
      <c r="F223" s="1201"/>
      <c r="G223" s="1201"/>
      <c r="H223" s="1201"/>
    </row>
    <row r="224" spans="1:8" x14ac:dyDescent="0.25">
      <c r="A224" s="1201"/>
      <c r="B224" s="1201"/>
      <c r="C224" s="1201"/>
      <c r="D224" s="1201"/>
      <c r="E224" s="1201"/>
      <c r="F224" s="1201"/>
      <c r="G224" s="1201"/>
      <c r="H224" s="1201"/>
    </row>
  </sheetData>
  <sheetProtection algorithmName="SHA-512" hashValue="tRkHd92rvjArPApeYOB8vNvhR4sC6cGrfyETI4udzM2djiqHLMgs99TRwYseQmg2x8FZXfABJSc3UQJ7n6PgJg==" saltValue="r8/3L62XmMbSkEGtfSt6vA==" spinCount="100000" sheet="1" objects="1" scenarios="1" selectLockedCells="1"/>
  <mergeCells count="126">
    <mergeCell ref="E94:I94"/>
    <mergeCell ref="A6:I6"/>
    <mergeCell ref="A7:H7"/>
    <mergeCell ref="B8:I8"/>
    <mergeCell ref="J8:P8"/>
    <mergeCell ref="R8:X8"/>
    <mergeCell ref="Z8:AF8"/>
    <mergeCell ref="IP8:IV8"/>
    <mergeCell ref="A9:H9"/>
    <mergeCell ref="A10:I10"/>
    <mergeCell ref="FV8:GB8"/>
    <mergeCell ref="GD8:GJ8"/>
    <mergeCell ref="GL8:GR8"/>
    <mergeCell ref="GT8:GZ8"/>
    <mergeCell ref="HB8:HH8"/>
    <mergeCell ref="HJ8:HP8"/>
    <mergeCell ref="DZ8:EF8"/>
    <mergeCell ref="EH8:EN8"/>
    <mergeCell ref="EP8:EV8"/>
    <mergeCell ref="EX8:FD8"/>
    <mergeCell ref="FF8:FL8"/>
    <mergeCell ref="FN8:FT8"/>
    <mergeCell ref="CD8:CJ8"/>
    <mergeCell ref="CL8:CR8"/>
    <mergeCell ref="CT8:CZ8"/>
    <mergeCell ref="A14:I14"/>
    <mergeCell ref="A15:H15"/>
    <mergeCell ref="B16:I16"/>
    <mergeCell ref="HR8:HX8"/>
    <mergeCell ref="HZ8:IF8"/>
    <mergeCell ref="IH8:IN8"/>
    <mergeCell ref="BF8:BL8"/>
    <mergeCell ref="BN8:BT8"/>
    <mergeCell ref="BV8:CB8"/>
    <mergeCell ref="DB8:DH8"/>
    <mergeCell ref="DJ8:DP8"/>
    <mergeCell ref="DR8:DX8"/>
    <mergeCell ref="AH8:AN8"/>
    <mergeCell ref="AP8:AV8"/>
    <mergeCell ref="AX8:BD8"/>
    <mergeCell ref="A11:H11"/>
    <mergeCell ref="B12:I12"/>
    <mergeCell ref="A13:H13"/>
    <mergeCell ref="A23:H23"/>
    <mergeCell ref="B24:I24"/>
    <mergeCell ref="A25:H25"/>
    <mergeCell ref="A26:I26"/>
    <mergeCell ref="A27:H27"/>
    <mergeCell ref="B28:I28"/>
    <mergeCell ref="A17:H17"/>
    <mergeCell ref="A18:I18"/>
    <mergeCell ref="A19:H19"/>
    <mergeCell ref="B20:I20"/>
    <mergeCell ref="A21:H21"/>
    <mergeCell ref="A22:I22"/>
    <mergeCell ref="A35:I35"/>
    <mergeCell ref="A36:I36"/>
    <mergeCell ref="A37:I37"/>
    <mergeCell ref="A40:I40"/>
    <mergeCell ref="A41:I41"/>
    <mergeCell ref="A42:I42"/>
    <mergeCell ref="A29:H29"/>
    <mergeCell ref="A30:I30"/>
    <mergeCell ref="A31:H31"/>
    <mergeCell ref="B32:I32"/>
    <mergeCell ref="A33:H33"/>
    <mergeCell ref="A34:I34"/>
    <mergeCell ref="A49:C49"/>
    <mergeCell ref="D49:I49"/>
    <mergeCell ref="A51:C51"/>
    <mergeCell ref="D51:I51"/>
    <mergeCell ref="A55:C55"/>
    <mergeCell ref="D55:I55"/>
    <mergeCell ref="B43:I43"/>
    <mergeCell ref="A44:H44"/>
    <mergeCell ref="A45:C45"/>
    <mergeCell ref="D45:I45"/>
    <mergeCell ref="A47:C47"/>
    <mergeCell ref="D47:I47"/>
    <mergeCell ref="A67:C67"/>
    <mergeCell ref="E67:G67"/>
    <mergeCell ref="H67:I67"/>
    <mergeCell ref="A68:C68"/>
    <mergeCell ref="E68:G68"/>
    <mergeCell ref="H68:I68"/>
    <mergeCell ref="B57:I57"/>
    <mergeCell ref="A58:H58"/>
    <mergeCell ref="H59:I59"/>
    <mergeCell ref="A64:I64"/>
    <mergeCell ref="A66:C66"/>
    <mergeCell ref="E66:G66"/>
    <mergeCell ref="H66:I66"/>
    <mergeCell ref="A74:C74"/>
    <mergeCell ref="D74:I74"/>
    <mergeCell ref="A76:C76"/>
    <mergeCell ref="D76:I76"/>
    <mergeCell ref="A69:C69"/>
    <mergeCell ref="E69:G69"/>
    <mergeCell ref="H69:I69"/>
    <mergeCell ref="A70:C70"/>
    <mergeCell ref="E70:G70"/>
    <mergeCell ref="H70:I70"/>
    <mergeCell ref="A116:D116"/>
    <mergeCell ref="F116:I116"/>
    <mergeCell ref="D53:I53"/>
    <mergeCell ref="A53:C53"/>
    <mergeCell ref="B104:I104"/>
    <mergeCell ref="A105:H105"/>
    <mergeCell ref="A106:I106"/>
    <mergeCell ref="A109:D109"/>
    <mergeCell ref="F109:I109"/>
    <mergeCell ref="A113:D113"/>
    <mergeCell ref="F113:I113"/>
    <mergeCell ref="A88:C88"/>
    <mergeCell ref="D88:I88"/>
    <mergeCell ref="A90:C90"/>
    <mergeCell ref="D90:I90"/>
    <mergeCell ref="A92:I92"/>
    <mergeCell ref="A93:C93"/>
    <mergeCell ref="D93:I93"/>
    <mergeCell ref="A78:C78"/>
    <mergeCell ref="D78:I78"/>
    <mergeCell ref="A82:C82"/>
    <mergeCell ref="B84:I84"/>
    <mergeCell ref="A85:H85"/>
    <mergeCell ref="A86:I86"/>
  </mergeCells>
  <pageMargins left="0.59055118110236227" right="0.39370078740157483" top="0.39370078740157483" bottom="0.19685039370078741" header="0.51181102362204722" footer="0.51181102362204722"/>
  <pageSetup paperSize="9" fitToHeight="3" orientation="portrait" r:id="rId1"/>
  <headerFooter alignWithMargins="0"/>
  <rowBreaks count="1" manualBreakCount="1">
    <brk id="10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I139"/>
  <sheetViews>
    <sheetView showGridLines="0" workbookViewId="0">
      <selection activeCell="F135" sqref="F135"/>
    </sheetView>
  </sheetViews>
  <sheetFormatPr baseColWidth="10" defaultRowHeight="13.2" x14ac:dyDescent="0.25"/>
  <cols>
    <col min="1" max="1" width="11.44140625" customWidth="1"/>
    <col min="3" max="3" width="12.109375" customWidth="1"/>
    <col min="4" max="4" width="11.44140625" customWidth="1"/>
    <col min="6" max="6" width="20.5546875" customWidth="1"/>
    <col min="7" max="7" width="8.44140625" customWidth="1"/>
    <col min="9" max="9" width="12.44140625" customWidth="1"/>
  </cols>
  <sheetData>
    <row r="4" spans="1:9" x14ac:dyDescent="0.25">
      <c r="A4" s="727"/>
      <c r="D4" s="1428"/>
      <c r="E4" s="1428"/>
    </row>
    <row r="5" spans="1:9" ht="17.399999999999999" x14ac:dyDescent="0.25">
      <c r="A5" s="988"/>
    </row>
    <row r="6" spans="1:9" ht="22.8" x14ac:dyDescent="0.25">
      <c r="A6" s="1514" t="s">
        <v>3653</v>
      </c>
      <c r="B6" s="1514"/>
      <c r="C6" s="1514"/>
      <c r="D6" s="1514"/>
      <c r="E6" s="1514"/>
      <c r="F6" s="1514"/>
      <c r="G6" s="1514"/>
      <c r="H6" s="1514"/>
      <c r="I6" s="1514"/>
    </row>
    <row r="7" spans="1:9" x14ac:dyDescent="0.25">
      <c r="A7" s="1412"/>
      <c r="B7" s="1412"/>
      <c r="C7" s="1412"/>
      <c r="D7" s="1412"/>
      <c r="E7" s="1412"/>
      <c r="F7" s="1412"/>
      <c r="G7" s="1412"/>
      <c r="H7" s="1412"/>
    </row>
    <row r="8" spans="1:9" x14ac:dyDescent="0.25">
      <c r="A8" s="1242"/>
      <c r="B8" s="1242"/>
      <c r="C8" s="1242"/>
      <c r="D8" s="1242"/>
      <c r="E8" s="1242"/>
      <c r="F8" s="1242"/>
      <c r="G8" s="1242"/>
      <c r="H8" s="1242"/>
    </row>
    <row r="9" spans="1:9" ht="14.4" x14ac:dyDescent="0.3">
      <c r="A9" s="1243"/>
      <c r="B9" s="1243"/>
      <c r="C9" s="1243"/>
      <c r="D9" s="1243"/>
      <c r="E9" s="1244" t="s">
        <v>3703</v>
      </c>
      <c r="F9" s="22"/>
      <c r="G9" s="1245"/>
      <c r="H9" s="1277" t="s">
        <v>3704</v>
      </c>
      <c r="I9" s="1245"/>
    </row>
    <row r="10" spans="1:9" ht="13.8" x14ac:dyDescent="0.25">
      <c r="A10" s="1243"/>
      <c r="B10" s="1243"/>
      <c r="C10" s="1243"/>
      <c r="D10" s="1243"/>
      <c r="E10" s="1243"/>
      <c r="F10" s="1243"/>
      <c r="G10" s="1243"/>
      <c r="H10" s="1243"/>
      <c r="I10" s="22"/>
    </row>
    <row r="11" spans="1:9" ht="13.8" x14ac:dyDescent="0.25">
      <c r="A11" s="1512" t="s">
        <v>235</v>
      </c>
      <c r="B11" s="1512"/>
      <c r="C11" s="1243"/>
      <c r="D11" s="1243"/>
      <c r="E11" s="1512" t="s">
        <v>992</v>
      </c>
      <c r="F11" s="1512"/>
      <c r="G11" s="1243"/>
      <c r="H11" s="1243"/>
      <c r="I11" s="22"/>
    </row>
    <row r="12" spans="1:9" ht="13.8" x14ac:dyDescent="0.25">
      <c r="A12" s="1513" t="str">
        <f>CONCATENATE(Input!E8," ",Input!E9)</f>
        <v xml:space="preserve"> </v>
      </c>
      <c r="B12" s="1513"/>
      <c r="C12" s="1243"/>
      <c r="D12" s="1243"/>
      <c r="E12" s="1506" t="str">
        <f>IF(Input!E10="","",Input!E10)</f>
        <v/>
      </c>
      <c r="F12" s="1506"/>
      <c r="G12" s="1243"/>
      <c r="H12" s="1243"/>
      <c r="I12" s="22"/>
    </row>
    <row r="13" spans="1:9" ht="13.8" x14ac:dyDescent="0.25">
      <c r="A13" s="1243"/>
      <c r="B13" s="1243"/>
      <c r="C13" s="1243"/>
      <c r="D13" s="1243"/>
      <c r="E13" s="1243"/>
      <c r="F13" s="1243"/>
      <c r="G13" s="1243"/>
      <c r="H13" s="1243"/>
      <c r="I13" s="22"/>
    </row>
    <row r="14" spans="1:9" ht="13.8" x14ac:dyDescent="0.25">
      <c r="A14" s="1243"/>
      <c r="B14" s="1243"/>
      <c r="C14" s="1243"/>
      <c r="D14" s="1243"/>
      <c r="E14" s="1243"/>
      <c r="F14" s="1243"/>
      <c r="G14" s="1243"/>
      <c r="H14" s="1243"/>
      <c r="I14" s="22"/>
    </row>
    <row r="15" spans="1:9" ht="17.399999999999999" x14ac:dyDescent="0.3">
      <c r="A15" s="1508" t="s">
        <v>3654</v>
      </c>
      <c r="B15" s="1508"/>
      <c r="C15" s="1508"/>
      <c r="D15" s="1508"/>
      <c r="E15" s="1508"/>
      <c r="F15" s="1508"/>
      <c r="G15" s="1508"/>
      <c r="H15" s="1508"/>
      <c r="I15" s="1508"/>
    </row>
    <row r="16" spans="1:9" ht="13.8" x14ac:dyDescent="0.25">
      <c r="A16" s="1507"/>
      <c r="B16" s="1507"/>
      <c r="C16" s="1507"/>
      <c r="D16" s="1507"/>
      <c r="E16" s="1507"/>
      <c r="F16" s="1507"/>
      <c r="G16" s="1507"/>
      <c r="H16" s="1507"/>
      <c r="I16" s="22"/>
    </row>
    <row r="17" spans="1:9" ht="12.75" customHeight="1" x14ac:dyDescent="0.25">
      <c r="A17" s="1506" t="s">
        <v>3655</v>
      </c>
      <c r="B17" s="1506"/>
      <c r="C17" s="1246"/>
      <c r="D17" s="1246"/>
      <c r="E17" s="1246"/>
      <c r="F17" s="1246"/>
      <c r="G17" s="1246" t="s">
        <v>3656</v>
      </c>
      <c r="H17" s="1509">
        <f>Input!E19</f>
        <v>100000</v>
      </c>
      <c r="I17" s="1510"/>
    </row>
    <row r="18" spans="1:9" ht="13.8" x14ac:dyDescent="0.25">
      <c r="A18" s="22"/>
      <c r="B18" s="22"/>
      <c r="C18" s="22"/>
      <c r="D18" s="22"/>
      <c r="E18" s="22"/>
      <c r="F18" s="22"/>
      <c r="G18" s="22"/>
      <c r="H18" s="22"/>
      <c r="I18" s="22"/>
    </row>
    <row r="19" spans="1:9" ht="13.8" x14ac:dyDescent="0.25">
      <c r="A19" s="22" t="s">
        <v>3657</v>
      </c>
      <c r="B19" s="22"/>
      <c r="C19" s="22"/>
      <c r="D19" s="22"/>
      <c r="E19" s="22"/>
      <c r="F19" s="22"/>
      <c r="G19" s="22"/>
      <c r="H19" s="22"/>
      <c r="I19" s="22"/>
    </row>
    <row r="20" spans="1:9" ht="13.8" x14ac:dyDescent="0.25">
      <c r="A20" s="22" t="s">
        <v>3658</v>
      </c>
      <c r="B20" s="22"/>
      <c r="C20" s="22"/>
      <c r="D20" s="22"/>
      <c r="E20" s="22"/>
      <c r="F20" s="22"/>
      <c r="G20" s="22" t="s">
        <v>3659</v>
      </c>
      <c r="H20" s="1511">
        <f>Input!E15</f>
        <v>45292</v>
      </c>
      <c r="I20" s="1511"/>
    </row>
    <row r="21" spans="1:9" ht="13.8" x14ac:dyDescent="0.25">
      <c r="A21" s="22"/>
      <c r="B21" s="22"/>
      <c r="C21" s="22"/>
      <c r="D21" s="22"/>
      <c r="E21" s="22"/>
      <c r="F21" s="22"/>
      <c r="G21" s="22"/>
      <c r="H21" s="22"/>
      <c r="I21" s="22"/>
    </row>
    <row r="22" spans="1:9" ht="13.8" x14ac:dyDescent="0.25">
      <c r="A22" s="22"/>
      <c r="B22" s="22"/>
      <c r="C22" s="22"/>
      <c r="D22" s="22"/>
      <c r="E22" s="22"/>
      <c r="F22" s="22"/>
      <c r="G22" s="22"/>
      <c r="H22" s="22"/>
      <c r="I22" s="22"/>
    </row>
    <row r="23" spans="1:9" ht="17.399999999999999" x14ac:dyDescent="0.3">
      <c r="A23" s="1508" t="s">
        <v>627</v>
      </c>
      <c r="B23" s="1508"/>
      <c r="C23" s="1508"/>
      <c r="D23" s="1508"/>
      <c r="E23" s="1508"/>
      <c r="F23" s="1508"/>
      <c r="G23" s="1508"/>
      <c r="H23" s="1508"/>
      <c r="I23" s="1508"/>
    </row>
    <row r="24" spans="1:9" ht="13.8" x14ac:dyDescent="0.25">
      <c r="A24" s="22"/>
      <c r="B24" s="22"/>
      <c r="C24" s="22"/>
      <c r="D24" s="22"/>
      <c r="E24" s="22"/>
      <c r="F24" s="22"/>
      <c r="G24" s="22"/>
      <c r="H24" s="22"/>
      <c r="I24" s="22"/>
    </row>
    <row r="25" spans="1:9" ht="13.8" x14ac:dyDescent="0.25">
      <c r="A25" s="1506" t="s">
        <v>3660</v>
      </c>
      <c r="B25" s="1506"/>
      <c r="C25" s="1246"/>
      <c r="D25" s="1246"/>
      <c r="E25" s="1247">
        <f>H20</f>
        <v>45292</v>
      </c>
      <c r="F25" s="1246"/>
      <c r="G25" s="1246"/>
      <c r="H25" s="22"/>
      <c r="I25" s="1248"/>
    </row>
    <row r="26" spans="1:9" ht="13.8" x14ac:dyDescent="0.25">
      <c r="A26" s="22"/>
      <c r="B26" s="22"/>
      <c r="C26" s="22"/>
      <c r="D26" s="22"/>
      <c r="E26" s="22"/>
      <c r="F26" s="22"/>
      <c r="G26" s="22"/>
      <c r="H26" s="22"/>
      <c r="I26" s="22"/>
    </row>
    <row r="27" spans="1:9" ht="13.8" x14ac:dyDescent="0.25">
      <c r="A27" s="22" t="s">
        <v>3685</v>
      </c>
      <c r="B27" s="22"/>
      <c r="C27" s="22"/>
      <c r="D27" s="22"/>
      <c r="E27" s="22" t="str">
        <f>VLOOKUP(Input!K9,Input!L9:M13,2,FALSE)</f>
        <v>L4 (AHV-Lohn)</v>
      </c>
      <c r="F27" s="22"/>
      <c r="G27" s="22"/>
      <c r="H27" s="22"/>
      <c r="I27" s="22"/>
    </row>
    <row r="28" spans="1:9" ht="13.8" x14ac:dyDescent="0.25">
      <c r="A28" s="22" t="s">
        <v>3686</v>
      </c>
      <c r="B28" s="22"/>
      <c r="C28" s="22"/>
      <c r="D28" s="22"/>
      <c r="E28" s="22" t="str">
        <f>VLOOKUP(Input!K15,Input!L15:M17,2,FALSE)</f>
        <v>keine Eintrittsschwelle</v>
      </c>
      <c r="F28" s="22"/>
      <c r="G28" s="22"/>
      <c r="H28" s="22"/>
      <c r="I28" s="22"/>
    </row>
    <row r="29" spans="1:9" ht="13.8" x14ac:dyDescent="0.25">
      <c r="A29" s="22" t="s">
        <v>3687</v>
      </c>
      <c r="B29" s="22"/>
      <c r="C29" s="22"/>
      <c r="D29" s="22"/>
      <c r="E29" s="22" t="str">
        <f>VLOOKUP(Input!K18,Input!L18:M24,2,FALSE)</f>
        <v>ohne Plafond</v>
      </c>
      <c r="F29" s="22"/>
      <c r="G29" s="22"/>
      <c r="H29" s="22"/>
      <c r="I29" s="22"/>
    </row>
    <row r="30" spans="1:9" ht="13.8" x14ac:dyDescent="0.25">
      <c r="A30" s="22"/>
      <c r="B30" s="22"/>
      <c r="C30" s="22"/>
      <c r="D30" s="22"/>
      <c r="E30" s="22"/>
      <c r="F30" s="22"/>
      <c r="G30" s="22"/>
      <c r="H30" s="22"/>
      <c r="I30" s="22"/>
    </row>
    <row r="31" spans="1:9" ht="13.8" x14ac:dyDescent="0.25">
      <c r="A31" s="22" t="s">
        <v>3688</v>
      </c>
      <c r="B31" s="22"/>
      <c r="C31" s="22"/>
      <c r="D31" s="22"/>
      <c r="E31" s="22" t="str">
        <f>VLOOKUP(Input!K25,Input!L25:M33,2,FALSE)</f>
        <v>A1 (7/10/15/18%)</v>
      </c>
      <c r="F31" s="22"/>
      <c r="G31" s="22"/>
      <c r="H31" s="22"/>
      <c r="I31" s="22"/>
    </row>
    <row r="32" spans="1:9" ht="13.8" x14ac:dyDescent="0.25">
      <c r="A32" s="22" t="s">
        <v>3689</v>
      </c>
      <c r="B32" s="22"/>
      <c r="C32" s="22"/>
      <c r="D32" s="22"/>
      <c r="E32" s="22" t="str">
        <f>VLOOKUP(Input!K36,Input!L34:M36,2,FALSE)</f>
        <v>kein Zusatzsparen</v>
      </c>
      <c r="F32" s="22"/>
      <c r="G32" s="22"/>
      <c r="H32" s="22"/>
      <c r="I32" s="22"/>
    </row>
    <row r="33" spans="1:9" ht="13.8" x14ac:dyDescent="0.25">
      <c r="A33" s="22"/>
      <c r="B33" s="22"/>
      <c r="C33" s="22"/>
      <c r="D33" s="22"/>
      <c r="E33" s="22"/>
      <c r="F33" s="22"/>
      <c r="G33" s="22"/>
      <c r="H33" s="22"/>
      <c r="I33" s="22"/>
    </row>
    <row r="34" spans="1:9" ht="13.8" x14ac:dyDescent="0.25">
      <c r="A34" s="22" t="s">
        <v>3690</v>
      </c>
      <c r="B34" s="22"/>
      <c r="C34" s="22"/>
      <c r="D34" s="22"/>
      <c r="E34" s="22" t="str">
        <f>VLOOKUP(Input!K37,Input!L37:M50,2,FALSE)</f>
        <v>R2 (40%)</v>
      </c>
      <c r="F34" s="1249" t="s">
        <v>1031</v>
      </c>
      <c r="G34" s="22" t="str">
        <f>VLOOKUP(Input!K51,Input!L51:M52,2,FALSE)</f>
        <v>720 Tage</v>
      </c>
      <c r="H34" s="22"/>
      <c r="I34" s="22"/>
    </row>
    <row r="35" spans="1:9" ht="13.8" x14ac:dyDescent="0.25">
      <c r="A35" s="22" t="s">
        <v>3691</v>
      </c>
      <c r="B35" s="22"/>
      <c r="C35" s="22"/>
      <c r="D35" s="22"/>
      <c r="E35" s="22" t="str">
        <f>VLOOKUP(Input!K53,Input!L53:M58,2,FALSE)</f>
        <v>kein zusätzliches TK</v>
      </c>
      <c r="F35" s="22"/>
      <c r="G35" s="22"/>
      <c r="H35" s="22"/>
      <c r="I35" s="22"/>
    </row>
    <row r="36" spans="1:9" ht="13.8" x14ac:dyDescent="0.25">
      <c r="A36" s="22"/>
      <c r="B36" s="22"/>
      <c r="C36" s="22"/>
      <c r="D36" s="22"/>
      <c r="E36" s="22"/>
      <c r="F36" s="22"/>
      <c r="G36" s="22"/>
      <c r="H36" s="22"/>
      <c r="I36" s="22"/>
    </row>
    <row r="37" spans="1:9" ht="13.8" x14ac:dyDescent="0.25">
      <c r="A37" s="22"/>
      <c r="B37" s="22"/>
      <c r="C37" s="22"/>
      <c r="D37" s="22"/>
      <c r="E37" s="22"/>
      <c r="F37" s="22"/>
      <c r="G37" s="22"/>
      <c r="H37" s="22"/>
      <c r="I37" s="22"/>
    </row>
    <row r="38" spans="1:9" ht="13.8" x14ac:dyDescent="0.25">
      <c r="A38" s="22"/>
      <c r="B38" s="22"/>
      <c r="C38" s="22"/>
      <c r="D38" s="22"/>
      <c r="E38" s="22"/>
      <c r="F38" s="22"/>
      <c r="G38" s="22"/>
      <c r="H38" s="22"/>
      <c r="I38" s="22"/>
    </row>
    <row r="39" spans="1:9" ht="17.399999999999999" x14ac:dyDescent="0.3">
      <c r="A39" s="1508" t="s">
        <v>3661</v>
      </c>
      <c r="B39" s="1508"/>
      <c r="C39" s="1508"/>
      <c r="D39" s="1508"/>
      <c r="E39" s="1508"/>
      <c r="F39" s="1508"/>
      <c r="G39" s="1508"/>
      <c r="H39" s="1508"/>
      <c r="I39" s="1508"/>
    </row>
    <row r="40" spans="1:9" ht="13.8" x14ac:dyDescent="0.25">
      <c r="A40" s="22"/>
      <c r="B40" s="22"/>
      <c r="C40" s="22"/>
      <c r="D40" s="22"/>
      <c r="E40" s="22"/>
      <c r="F40" s="22"/>
      <c r="G40" s="22"/>
      <c r="H40" s="22"/>
      <c r="I40" s="22"/>
    </row>
    <row r="41" spans="1:9" ht="13.8" x14ac:dyDescent="0.25">
      <c r="A41" s="1506" t="s">
        <v>72</v>
      </c>
      <c r="B41" s="1506"/>
      <c r="C41" s="1506"/>
      <c r="D41" s="1506"/>
      <c r="E41" s="1506"/>
      <c r="F41" s="1506"/>
      <c r="G41" s="1506"/>
      <c r="H41" s="1506"/>
      <c r="I41" s="1506"/>
    </row>
    <row r="42" spans="1:9" ht="13.8" x14ac:dyDescent="0.25">
      <c r="A42" s="22"/>
      <c r="B42" s="22"/>
      <c r="C42" s="22"/>
      <c r="D42" s="22"/>
      <c r="E42" s="22"/>
      <c r="F42" s="22"/>
      <c r="G42" s="22"/>
      <c r="H42" s="22"/>
      <c r="I42" s="22"/>
    </row>
    <row r="43" spans="1:9" ht="13.8" x14ac:dyDescent="0.25">
      <c r="A43" s="1249" t="str">
        <f>IF(Input!K51=2,"X","")</f>
        <v/>
      </c>
      <c r="B43" s="22" t="s">
        <v>1030</v>
      </c>
      <c r="D43" s="1249" t="str">
        <f>IF(Input!K51=1,"X","")</f>
        <v>X</v>
      </c>
      <c r="E43" s="22" t="s">
        <v>3708</v>
      </c>
      <c r="F43" s="22"/>
      <c r="G43" s="22"/>
      <c r="H43" s="22"/>
      <c r="I43" s="22"/>
    </row>
    <row r="44" spans="1:9" ht="13.8" x14ac:dyDescent="0.25">
      <c r="A44" s="22"/>
      <c r="B44" s="22"/>
      <c r="C44" s="22"/>
      <c r="E44" s="22" t="s">
        <v>3709</v>
      </c>
      <c r="F44" s="22"/>
      <c r="G44" s="22"/>
      <c r="H44" s="22"/>
      <c r="I44" s="22"/>
    </row>
    <row r="45" spans="1:9" ht="13.8" x14ac:dyDescent="0.25">
      <c r="A45" s="22"/>
      <c r="B45" s="22"/>
      <c r="C45" s="22"/>
      <c r="D45" s="22"/>
      <c r="E45" s="22" t="s">
        <v>3710</v>
      </c>
      <c r="F45" s="22"/>
      <c r="G45" s="22"/>
      <c r="H45" s="22"/>
      <c r="I45" s="22"/>
    </row>
    <row r="46" spans="1:9" ht="13.8" x14ac:dyDescent="0.25">
      <c r="A46" s="22"/>
      <c r="B46" s="22"/>
      <c r="C46" s="22"/>
      <c r="D46" s="22"/>
      <c r="E46" s="22"/>
      <c r="F46" s="22"/>
      <c r="G46" s="22"/>
      <c r="H46" s="22"/>
      <c r="I46" s="22"/>
    </row>
    <row r="47" spans="1:9" ht="17.399999999999999" x14ac:dyDescent="0.3">
      <c r="A47" s="1508" t="s">
        <v>3662</v>
      </c>
      <c r="B47" s="1508"/>
      <c r="C47" s="1508"/>
      <c r="D47" s="1508"/>
      <c r="E47" s="1508"/>
      <c r="F47" s="1508"/>
      <c r="G47" s="1508"/>
      <c r="H47" s="1508"/>
      <c r="I47" s="1508"/>
    </row>
    <row r="48" spans="1:9" ht="13.8" x14ac:dyDescent="0.25">
      <c r="A48" s="22"/>
      <c r="B48" s="22"/>
      <c r="C48" s="22"/>
      <c r="D48" s="22"/>
      <c r="E48" s="22"/>
      <c r="F48" s="22"/>
      <c r="G48" s="22"/>
      <c r="H48" s="22"/>
      <c r="I48" s="22"/>
    </row>
    <row r="49" spans="1:9" ht="12.75" customHeight="1" x14ac:dyDescent="0.25">
      <c r="A49" s="1246" t="s">
        <v>3663</v>
      </c>
      <c r="B49" s="1250" t="s">
        <v>3667</v>
      </c>
      <c r="C49" s="1246" t="s">
        <v>3664</v>
      </c>
      <c r="D49" s="1250" t="s">
        <v>3667</v>
      </c>
      <c r="E49" s="1506" t="s">
        <v>3665</v>
      </c>
      <c r="F49" s="1506"/>
      <c r="G49" s="1250" t="s">
        <v>3667</v>
      </c>
      <c r="H49" s="1506" t="s">
        <v>3666</v>
      </c>
      <c r="I49" s="1506"/>
    </row>
    <row r="50" spans="1:9" ht="13.8" x14ac:dyDescent="0.25">
      <c r="A50" s="22"/>
      <c r="B50" s="22"/>
      <c r="C50" s="22"/>
      <c r="D50" s="22"/>
      <c r="E50" s="22"/>
      <c r="F50" s="22"/>
      <c r="G50" s="22"/>
      <c r="H50" s="22"/>
      <c r="I50" s="22"/>
    </row>
    <row r="51" spans="1:9" ht="13.8" x14ac:dyDescent="0.25">
      <c r="A51" s="22"/>
      <c r="B51" s="1250" t="s">
        <v>3667</v>
      </c>
      <c r="C51" s="22" t="s">
        <v>3668</v>
      </c>
      <c r="D51" s="1250" t="s">
        <v>3667</v>
      </c>
      <c r="E51" s="22" t="s">
        <v>3669</v>
      </c>
      <c r="F51" s="22"/>
      <c r="G51" s="22"/>
      <c r="H51" s="22"/>
      <c r="I51" s="22"/>
    </row>
    <row r="52" spans="1:9" ht="23.25" customHeight="1" x14ac:dyDescent="0.25">
      <c r="A52" s="22"/>
      <c r="B52" s="22"/>
      <c r="C52" s="22"/>
      <c r="D52" s="22"/>
      <c r="E52" s="22"/>
      <c r="F52" s="22"/>
      <c r="G52" s="22"/>
      <c r="H52" s="22"/>
      <c r="I52" s="22"/>
    </row>
    <row r="53" spans="1:9" ht="18.75" customHeight="1" x14ac:dyDescent="0.25">
      <c r="A53" s="1246" t="s">
        <v>3660</v>
      </c>
      <c r="B53" s="1515" t="s">
        <v>78</v>
      </c>
      <c r="C53" s="1515"/>
      <c r="D53" s="22"/>
      <c r="E53" s="22" t="s">
        <v>3670</v>
      </c>
      <c r="F53" s="1515" t="s">
        <v>3671</v>
      </c>
      <c r="G53" s="1515"/>
      <c r="H53" s="1515"/>
      <c r="I53" s="1515"/>
    </row>
    <row r="54" spans="1:9" ht="13.8" x14ac:dyDescent="0.25">
      <c r="A54" s="22"/>
      <c r="B54" s="22"/>
      <c r="C54" s="22"/>
      <c r="D54" s="22"/>
      <c r="E54" s="22"/>
      <c r="F54" s="22"/>
      <c r="G54" s="22"/>
      <c r="H54" s="22"/>
      <c r="I54" s="22"/>
    </row>
    <row r="55" spans="1:9" ht="13.8" x14ac:dyDescent="0.25">
      <c r="A55" s="22" t="s">
        <v>3672</v>
      </c>
      <c r="B55" s="22"/>
      <c r="C55" s="22"/>
      <c r="D55" s="22"/>
      <c r="E55" s="22"/>
      <c r="F55" s="22"/>
      <c r="G55" s="22"/>
      <c r="H55" s="22"/>
      <c r="I55" s="22"/>
    </row>
    <row r="56" spans="1:9" ht="13.8" x14ac:dyDescent="0.25">
      <c r="A56" s="22"/>
      <c r="B56" s="22"/>
      <c r="C56" s="22"/>
      <c r="D56" s="22"/>
      <c r="E56" s="22"/>
      <c r="F56" s="22"/>
      <c r="G56" s="22"/>
      <c r="H56" s="22"/>
      <c r="I56" s="22"/>
    </row>
    <row r="57" spans="1:9" ht="13.8" x14ac:dyDescent="0.25">
      <c r="A57" s="22"/>
      <c r="B57" s="22"/>
      <c r="C57" s="22"/>
      <c r="D57" s="22"/>
      <c r="E57" s="22"/>
      <c r="F57" s="22"/>
      <c r="G57" s="22"/>
      <c r="H57" s="22"/>
      <c r="I57" s="22"/>
    </row>
    <row r="58" spans="1:9" ht="13.8" x14ac:dyDescent="0.25">
      <c r="A58" s="22"/>
      <c r="B58" s="22"/>
      <c r="C58" s="22"/>
      <c r="D58" s="22"/>
      <c r="E58" s="22"/>
      <c r="F58" s="22"/>
      <c r="G58" s="22"/>
      <c r="H58" s="22"/>
      <c r="I58" s="22"/>
    </row>
    <row r="59" spans="1:9" ht="13.8" x14ac:dyDescent="0.25">
      <c r="A59" s="22"/>
      <c r="B59" s="22"/>
      <c r="C59" s="22"/>
      <c r="D59" s="22"/>
      <c r="E59" s="22"/>
      <c r="F59" s="22"/>
      <c r="G59" s="22"/>
      <c r="H59" s="22"/>
      <c r="I59" s="22"/>
    </row>
    <row r="60" spans="1:9" ht="13.8" x14ac:dyDescent="0.25">
      <c r="A60" s="22"/>
      <c r="B60" s="22"/>
      <c r="C60" s="22"/>
      <c r="D60" s="22"/>
      <c r="E60" s="22"/>
      <c r="F60" s="22"/>
      <c r="G60" s="22"/>
      <c r="H60" s="22"/>
      <c r="I60" s="22"/>
    </row>
    <row r="61" spans="1:9" ht="13.8" x14ac:dyDescent="0.25">
      <c r="A61" s="22"/>
      <c r="B61" s="22"/>
      <c r="C61" s="22"/>
      <c r="D61" s="22"/>
      <c r="E61" s="22"/>
      <c r="F61" s="22"/>
      <c r="G61" s="22"/>
      <c r="H61" s="22"/>
      <c r="I61" s="22"/>
    </row>
    <row r="62" spans="1:9" ht="13.8" x14ac:dyDescent="0.25">
      <c r="A62" s="22"/>
      <c r="B62" s="22"/>
      <c r="C62" s="22"/>
      <c r="D62" s="22"/>
      <c r="E62" s="22"/>
      <c r="F62" s="22"/>
      <c r="G62" s="22"/>
      <c r="H62" s="22"/>
      <c r="I62" s="22"/>
    </row>
    <row r="63" spans="1:9" ht="13.8" x14ac:dyDescent="0.25">
      <c r="A63" s="22"/>
      <c r="B63" s="22"/>
      <c r="C63" s="22"/>
      <c r="D63" s="22"/>
      <c r="E63" s="22"/>
      <c r="F63" s="22"/>
      <c r="G63" s="22"/>
      <c r="H63" s="22"/>
      <c r="I63" s="22"/>
    </row>
    <row r="64" spans="1:9" ht="13.8" x14ac:dyDescent="0.25">
      <c r="A64" s="22"/>
      <c r="B64" s="22"/>
      <c r="C64" s="22"/>
      <c r="D64" s="22"/>
      <c r="E64" s="22"/>
      <c r="F64" s="22"/>
      <c r="G64" s="22"/>
      <c r="H64" s="22"/>
      <c r="I64" s="22"/>
    </row>
    <row r="65" spans="1:9" ht="13.8" x14ac:dyDescent="0.25">
      <c r="A65" s="22"/>
      <c r="B65" s="22"/>
      <c r="C65" s="22"/>
      <c r="D65" s="22"/>
      <c r="E65" s="22"/>
      <c r="F65" s="22"/>
      <c r="G65" s="22"/>
      <c r="H65" s="22"/>
      <c r="I65" s="22"/>
    </row>
    <row r="66" spans="1:9" ht="13.8" x14ac:dyDescent="0.25">
      <c r="A66" s="22"/>
      <c r="B66" s="22"/>
      <c r="C66" s="22"/>
      <c r="D66" s="22"/>
      <c r="E66" s="22"/>
      <c r="F66" s="22"/>
      <c r="G66" s="22"/>
      <c r="H66" s="22"/>
      <c r="I66" s="22"/>
    </row>
    <row r="67" spans="1:9" ht="13.8" x14ac:dyDescent="0.25">
      <c r="A67" s="22"/>
      <c r="B67" s="22"/>
      <c r="C67" s="22"/>
      <c r="D67" s="22"/>
      <c r="E67" s="22"/>
      <c r="F67" s="22"/>
      <c r="G67" s="22"/>
      <c r="H67" s="22"/>
      <c r="I67" s="22"/>
    </row>
    <row r="68" spans="1:9" ht="17.399999999999999" x14ac:dyDescent="0.3">
      <c r="A68" s="1508" t="s">
        <v>3673</v>
      </c>
      <c r="B68" s="1508"/>
      <c r="C68" s="1508"/>
      <c r="D68" s="1508"/>
      <c r="E68" s="1508"/>
      <c r="F68" s="1508"/>
      <c r="G68" s="1508"/>
      <c r="H68" s="1508"/>
      <c r="I68" s="1508"/>
    </row>
    <row r="69" spans="1:9" ht="13.8" x14ac:dyDescent="0.25">
      <c r="A69" s="22"/>
      <c r="B69" s="22"/>
      <c r="C69" s="22"/>
      <c r="D69" s="22"/>
      <c r="E69" s="22"/>
      <c r="F69" s="22"/>
      <c r="G69" s="22"/>
      <c r="H69" s="22"/>
      <c r="I69" s="22"/>
    </row>
    <row r="70" spans="1:9" ht="13.8" x14ac:dyDescent="0.25">
      <c r="A70" s="1506" t="s">
        <v>3674</v>
      </c>
      <c r="B70" s="1506"/>
      <c r="C70" s="1506"/>
      <c r="D70" s="1506"/>
      <c r="E70" s="1506"/>
      <c r="F70" s="1506"/>
      <c r="G70" s="1506"/>
      <c r="H70" s="1506"/>
      <c r="I70" s="1506"/>
    </row>
    <row r="71" spans="1:9" ht="7.95" customHeight="1" x14ac:dyDescent="0.25">
      <c r="A71" s="22"/>
      <c r="B71" s="22"/>
      <c r="C71" s="22"/>
      <c r="D71" s="22"/>
      <c r="E71" s="22"/>
      <c r="F71" s="22"/>
      <c r="G71" s="22"/>
      <c r="H71" s="22"/>
      <c r="I71" s="22"/>
    </row>
    <row r="72" spans="1:9" ht="13.8" x14ac:dyDescent="0.25">
      <c r="A72" s="22"/>
      <c r="B72" s="1250"/>
      <c r="C72" s="1246"/>
      <c r="D72" s="1250" t="s">
        <v>3667</v>
      </c>
      <c r="E72" s="1506" t="s">
        <v>3675</v>
      </c>
      <c r="F72" s="1506"/>
      <c r="G72" s="1250" t="s">
        <v>3667</v>
      </c>
      <c r="H72" s="1506" t="s">
        <v>3676</v>
      </c>
      <c r="I72" s="1506"/>
    </row>
    <row r="73" spans="1:9" ht="10.199999999999999" customHeight="1" x14ac:dyDescent="0.25">
      <c r="A73" s="22"/>
      <c r="B73" s="22"/>
      <c r="C73" s="22"/>
      <c r="D73" s="22"/>
      <c r="E73" s="22"/>
      <c r="F73" s="22"/>
      <c r="G73" s="22"/>
      <c r="H73" s="22"/>
      <c r="I73" s="22"/>
    </row>
    <row r="74" spans="1:9" ht="13.8" x14ac:dyDescent="0.25">
      <c r="A74" s="22"/>
      <c r="B74" s="1250"/>
      <c r="C74" s="22"/>
      <c r="D74" s="1250" t="s">
        <v>3667</v>
      </c>
      <c r="E74" s="22" t="s">
        <v>3677</v>
      </c>
      <c r="F74" s="22"/>
      <c r="G74" s="1250" t="s">
        <v>3667</v>
      </c>
      <c r="H74" s="22" t="s">
        <v>3678</v>
      </c>
      <c r="I74" s="22"/>
    </row>
    <row r="75" spans="1:9" ht="10.199999999999999" customHeight="1" x14ac:dyDescent="0.25">
      <c r="A75" s="22"/>
      <c r="B75" s="22"/>
      <c r="C75" s="22"/>
      <c r="D75" s="22"/>
      <c r="E75" s="22"/>
      <c r="F75" s="22"/>
      <c r="G75" s="22"/>
      <c r="H75" s="22"/>
      <c r="I75" s="22"/>
    </row>
    <row r="76" spans="1:9" ht="13.8" x14ac:dyDescent="0.25">
      <c r="A76" s="22" t="s">
        <v>3679</v>
      </c>
      <c r="B76" s="22"/>
      <c r="C76" s="22"/>
      <c r="D76" s="1250" t="s">
        <v>3667</v>
      </c>
      <c r="E76" s="22" t="s">
        <v>3705</v>
      </c>
      <c r="F76" s="22"/>
      <c r="G76" s="1250" t="s">
        <v>3667</v>
      </c>
      <c r="H76" s="22" t="s">
        <v>3680</v>
      </c>
      <c r="I76" s="22"/>
    </row>
    <row r="77" spans="1:9" ht="13.8" x14ac:dyDescent="0.25">
      <c r="A77" s="22"/>
      <c r="B77" s="22"/>
      <c r="C77" s="22"/>
      <c r="D77" s="22"/>
      <c r="E77" s="22"/>
      <c r="F77" s="22"/>
      <c r="G77" s="22"/>
      <c r="H77" s="22"/>
      <c r="I77" s="22"/>
    </row>
    <row r="78" spans="1:9" ht="13.8" x14ac:dyDescent="0.25">
      <c r="A78" s="22" t="s">
        <v>991</v>
      </c>
      <c r="B78" s="22"/>
      <c r="C78" s="22"/>
      <c r="D78" s="22"/>
      <c r="E78" s="1245" t="s">
        <v>3706</v>
      </c>
      <c r="F78" s="22"/>
      <c r="G78" s="22"/>
      <c r="H78" s="22"/>
      <c r="I78" s="22"/>
    </row>
    <row r="79" spans="1:9" ht="13.8" x14ac:dyDescent="0.25">
      <c r="A79" s="22"/>
      <c r="B79" s="22"/>
      <c r="C79" s="22"/>
      <c r="D79" s="22"/>
      <c r="E79" s="22"/>
      <c r="F79" s="22"/>
      <c r="G79" s="22"/>
      <c r="H79" s="22"/>
      <c r="I79" s="22"/>
    </row>
    <row r="80" spans="1:9" ht="13.8" x14ac:dyDescent="0.25">
      <c r="A80" s="22" t="s">
        <v>3681</v>
      </c>
      <c r="B80" s="22"/>
      <c r="C80" s="22"/>
      <c r="D80" s="22"/>
      <c r="E80" s="1245" t="s">
        <v>3706</v>
      </c>
      <c r="F80" s="22"/>
      <c r="G80" s="22"/>
      <c r="H80" s="22"/>
      <c r="I80" s="22"/>
    </row>
    <row r="81" spans="1:9" ht="13.8" x14ac:dyDescent="0.25">
      <c r="A81" s="22"/>
      <c r="B81" s="22"/>
      <c r="C81" s="22"/>
      <c r="D81" s="22"/>
      <c r="E81" s="22"/>
      <c r="F81" s="22"/>
      <c r="G81" s="22"/>
      <c r="H81" s="22"/>
      <c r="I81" s="22"/>
    </row>
    <row r="82" spans="1:9" ht="13.8" x14ac:dyDescent="0.25">
      <c r="A82" s="22" t="s">
        <v>3682</v>
      </c>
      <c r="B82" s="22"/>
      <c r="C82" s="22"/>
      <c r="D82" s="22"/>
      <c r="E82" s="1245" t="s">
        <v>3706</v>
      </c>
      <c r="F82" s="22"/>
      <c r="G82" s="22"/>
      <c r="H82" s="22"/>
      <c r="I82" s="22"/>
    </row>
    <row r="83" spans="1:9" ht="13.8" x14ac:dyDescent="0.25">
      <c r="A83" s="22"/>
      <c r="B83" s="22"/>
      <c r="C83" s="22"/>
      <c r="D83" s="22"/>
      <c r="E83" s="22"/>
      <c r="F83" s="22"/>
      <c r="G83" s="22"/>
      <c r="H83" s="22"/>
      <c r="I83" s="22"/>
    </row>
    <row r="84" spans="1:9" ht="13.8" x14ac:dyDescent="0.25">
      <c r="A84" s="22" t="s">
        <v>3683</v>
      </c>
      <c r="B84" s="22"/>
      <c r="C84" s="22"/>
      <c r="D84" s="22"/>
      <c r="E84" s="1245" t="s">
        <v>3706</v>
      </c>
      <c r="F84" s="22"/>
      <c r="G84" s="22"/>
      <c r="H84" s="22"/>
      <c r="I84" s="22"/>
    </row>
    <row r="85" spans="1:9" ht="13.8" x14ac:dyDescent="0.25">
      <c r="A85" s="22"/>
      <c r="B85" s="22"/>
      <c r="C85" s="22"/>
      <c r="D85" s="22"/>
      <c r="E85" s="22"/>
      <c r="F85" s="22"/>
      <c r="G85" s="22"/>
      <c r="H85" s="22"/>
      <c r="I85" s="22"/>
    </row>
    <row r="86" spans="1:9" ht="13.8" x14ac:dyDescent="0.25">
      <c r="A86" s="22"/>
      <c r="B86" s="22"/>
      <c r="C86" s="22"/>
      <c r="D86" s="22"/>
      <c r="E86" s="22"/>
      <c r="F86" s="22"/>
      <c r="G86" s="22"/>
      <c r="H86" s="22"/>
      <c r="I86" s="22"/>
    </row>
    <row r="87" spans="1:9" ht="17.399999999999999" x14ac:dyDescent="0.3">
      <c r="A87" s="1508" t="s">
        <v>626</v>
      </c>
      <c r="B87" s="1508"/>
      <c r="C87" s="1508"/>
      <c r="D87" s="1508"/>
      <c r="E87" s="1508"/>
      <c r="F87" s="1508"/>
      <c r="G87" s="1508"/>
      <c r="H87" s="1508"/>
      <c r="I87" s="1508"/>
    </row>
    <row r="88" spans="1:9" ht="13.8" x14ac:dyDescent="0.25">
      <c r="A88" s="22"/>
      <c r="B88" s="22"/>
      <c r="C88" s="22"/>
      <c r="D88" s="22"/>
      <c r="E88" s="22"/>
      <c r="F88" s="22"/>
      <c r="G88" s="22"/>
      <c r="H88" s="22"/>
      <c r="I88" s="22"/>
    </row>
    <row r="89" spans="1:9" ht="13.8" x14ac:dyDescent="0.25">
      <c r="A89" s="1512" t="s">
        <v>3684</v>
      </c>
      <c r="B89" s="1512"/>
      <c r="C89" s="1512"/>
      <c r="D89" s="1512"/>
      <c r="E89" s="1512"/>
      <c r="F89" s="1512"/>
      <c r="G89" s="1512"/>
      <c r="H89" s="1512"/>
      <c r="I89" s="1512"/>
    </row>
    <row r="90" spans="1:9" ht="13.8" x14ac:dyDescent="0.25">
      <c r="A90" s="22"/>
      <c r="B90" s="22"/>
      <c r="C90" s="22"/>
      <c r="D90" s="22"/>
      <c r="E90" s="22"/>
      <c r="F90" s="22"/>
      <c r="G90" s="22"/>
      <c r="H90" s="22"/>
      <c r="I90" s="22"/>
    </row>
    <row r="91" spans="1:9" ht="13.8" x14ac:dyDescent="0.25">
      <c r="A91" s="22" t="s">
        <v>3711</v>
      </c>
      <c r="B91" s="22"/>
      <c r="C91" s="22"/>
      <c r="D91" s="1250"/>
      <c r="E91" s="1246" t="s">
        <v>1489</v>
      </c>
      <c r="F91" s="1246"/>
      <c r="G91" s="1250" t="s">
        <v>3667</v>
      </c>
      <c r="H91" s="1246" t="s">
        <v>1006</v>
      </c>
      <c r="I91" s="22"/>
    </row>
    <row r="92" spans="1:9" ht="13.8" x14ac:dyDescent="0.25">
      <c r="A92" s="22"/>
      <c r="B92" s="22"/>
      <c r="C92" s="22"/>
      <c r="D92" s="22"/>
      <c r="E92" s="22"/>
      <c r="F92" s="22"/>
      <c r="G92" s="22"/>
      <c r="H92" s="22"/>
      <c r="I92" s="22"/>
    </row>
    <row r="93" spans="1:9" ht="22.5" customHeight="1" x14ac:dyDescent="0.25">
      <c r="A93" s="22" t="s">
        <v>3692</v>
      </c>
      <c r="B93" s="22"/>
      <c r="C93" s="22"/>
      <c r="D93" s="1245"/>
      <c r="E93" s="1245" t="s">
        <v>3706</v>
      </c>
      <c r="F93" s="1245"/>
      <c r="G93" s="1245"/>
      <c r="H93" s="1245"/>
      <c r="I93" s="1245"/>
    </row>
    <row r="94" spans="1:9" ht="13.8" x14ac:dyDescent="0.25">
      <c r="A94" s="22"/>
      <c r="B94" s="22"/>
      <c r="C94" s="22"/>
      <c r="D94" s="22"/>
      <c r="E94" s="22"/>
      <c r="F94" s="22"/>
      <c r="G94" s="22"/>
      <c r="H94" s="22"/>
      <c r="I94" s="22"/>
    </row>
    <row r="95" spans="1:9" ht="13.8" x14ac:dyDescent="0.25">
      <c r="A95" s="22" t="s">
        <v>3693</v>
      </c>
      <c r="B95" s="22"/>
      <c r="C95" s="22"/>
      <c r="D95" s="1250" t="s">
        <v>3667</v>
      </c>
      <c r="E95" s="1506" t="s">
        <v>3694</v>
      </c>
      <c r="F95" s="1506"/>
      <c r="G95" s="1250" t="s">
        <v>3667</v>
      </c>
      <c r="H95" s="1246" t="s">
        <v>1006</v>
      </c>
      <c r="I95" s="22"/>
    </row>
    <row r="96" spans="1:9" ht="13.8" x14ac:dyDescent="0.25">
      <c r="A96" s="22"/>
      <c r="B96" s="22"/>
      <c r="C96" s="22"/>
      <c r="D96" s="22"/>
      <c r="E96" s="22"/>
      <c r="F96" s="22"/>
      <c r="G96" s="22"/>
      <c r="H96" s="22"/>
      <c r="I96" s="22"/>
    </row>
    <row r="97" spans="1:9" ht="27.75" customHeight="1" x14ac:dyDescent="0.25">
      <c r="A97" s="1516" t="s">
        <v>3695</v>
      </c>
      <c r="B97" s="1516"/>
      <c r="C97" s="1516"/>
      <c r="D97" s="1516"/>
      <c r="E97" s="1516"/>
      <c r="F97" s="1516"/>
      <c r="G97" s="1516"/>
      <c r="H97" s="1516"/>
      <c r="I97" s="1516"/>
    </row>
    <row r="98" spans="1:9" ht="13.8" x14ac:dyDescent="0.25">
      <c r="A98" s="22"/>
      <c r="B98" s="22"/>
      <c r="C98" s="22"/>
      <c r="D98" s="22"/>
      <c r="E98" s="22"/>
      <c r="F98" s="22"/>
      <c r="G98" s="22"/>
      <c r="H98" s="22"/>
      <c r="I98" s="22"/>
    </row>
    <row r="99" spans="1:9" ht="13.8" x14ac:dyDescent="0.25">
      <c r="A99" s="22"/>
      <c r="B99" s="22"/>
      <c r="C99" s="22"/>
      <c r="D99" s="1250" t="s">
        <v>3667</v>
      </c>
      <c r="E99" s="1246" t="s">
        <v>1489</v>
      </c>
      <c r="F99" s="1246"/>
      <c r="G99" s="1250" t="s">
        <v>3667</v>
      </c>
      <c r="H99" s="1246" t="s">
        <v>1006</v>
      </c>
      <c r="I99" s="22"/>
    </row>
    <row r="100" spans="1:9" ht="8.4" customHeight="1" x14ac:dyDescent="0.25">
      <c r="A100" s="22"/>
      <c r="B100" s="22"/>
      <c r="C100" s="22"/>
      <c r="D100" s="22"/>
      <c r="E100" s="22"/>
      <c r="F100" s="22"/>
      <c r="G100" s="22"/>
      <c r="H100" s="22"/>
      <c r="I100" s="22"/>
    </row>
    <row r="101" spans="1:9" ht="13.8" x14ac:dyDescent="0.25">
      <c r="A101" s="22" t="s">
        <v>25</v>
      </c>
      <c r="B101" s="22"/>
      <c r="C101" s="22"/>
      <c r="D101" s="22"/>
      <c r="E101" s="22"/>
      <c r="F101" s="22"/>
      <c r="G101" s="22"/>
      <c r="H101" s="22"/>
      <c r="I101" s="22"/>
    </row>
    <row r="102" spans="1:9" ht="8.4" customHeight="1" x14ac:dyDescent="0.25">
      <c r="A102" s="22"/>
      <c r="B102" s="22"/>
      <c r="C102" s="22"/>
      <c r="D102" s="22"/>
      <c r="E102" s="22"/>
      <c r="F102" s="22"/>
      <c r="G102" s="22"/>
      <c r="H102" s="22"/>
      <c r="I102" s="22"/>
    </row>
    <row r="103" spans="1:9" ht="13.8" x14ac:dyDescent="0.25">
      <c r="A103" s="22" t="s">
        <v>3696</v>
      </c>
      <c r="B103" s="22"/>
      <c r="C103" s="22"/>
      <c r="D103" s="22"/>
      <c r="E103" s="22" t="s">
        <v>3631</v>
      </c>
      <c r="F103" s="22"/>
      <c r="G103" s="22"/>
      <c r="H103" s="1251" t="s">
        <v>3632</v>
      </c>
      <c r="I103" s="22"/>
    </row>
    <row r="104" spans="1:9" ht="13.8" x14ac:dyDescent="0.25">
      <c r="A104" s="22"/>
      <c r="B104" s="22"/>
      <c r="C104" s="22"/>
      <c r="D104" s="22"/>
      <c r="E104" s="22"/>
      <c r="F104" s="22"/>
      <c r="G104" s="22"/>
      <c r="H104" s="22"/>
      <c r="I104" s="22"/>
    </row>
    <row r="105" spans="1:9" ht="6.6" customHeight="1" x14ac:dyDescent="0.25">
      <c r="A105" s="22"/>
      <c r="B105" s="22"/>
      <c r="C105" s="22"/>
      <c r="D105" s="22"/>
      <c r="E105" s="22"/>
      <c r="F105" s="22"/>
      <c r="G105" s="22"/>
      <c r="H105" s="22"/>
      <c r="I105" s="22"/>
    </row>
    <row r="106" spans="1:9" ht="15" customHeight="1" x14ac:dyDescent="0.25">
      <c r="A106" s="1245" t="s">
        <v>3697</v>
      </c>
      <c r="B106" s="1245"/>
      <c r="C106" s="1245"/>
      <c r="D106" s="1245"/>
      <c r="E106" s="1245" t="s">
        <v>3698</v>
      </c>
      <c r="F106" s="1245"/>
      <c r="G106" s="1250" t="s">
        <v>3667</v>
      </c>
      <c r="H106" s="1246" t="s">
        <v>3707</v>
      </c>
      <c r="I106" s="1245" t="s">
        <v>1006</v>
      </c>
    </row>
    <row r="107" spans="1:9" ht="13.8" x14ac:dyDescent="0.25">
      <c r="A107" s="22"/>
      <c r="B107" s="22"/>
      <c r="C107" s="22"/>
      <c r="D107" s="22"/>
      <c r="E107" s="22"/>
      <c r="F107" s="22"/>
      <c r="G107" s="22"/>
      <c r="H107" s="22"/>
      <c r="I107" s="22"/>
    </row>
    <row r="108" spans="1:9" ht="6.6" customHeight="1" x14ac:dyDescent="0.25">
      <c r="A108" s="22"/>
      <c r="B108" s="22"/>
      <c r="C108" s="22"/>
      <c r="D108" s="22"/>
      <c r="E108" s="22"/>
      <c r="F108" s="22"/>
      <c r="G108" s="22"/>
      <c r="H108" s="22"/>
      <c r="I108" s="22"/>
    </row>
    <row r="109" spans="1:9" ht="15" customHeight="1" x14ac:dyDescent="0.25">
      <c r="A109" s="1245" t="s">
        <v>3697</v>
      </c>
      <c r="B109" s="1245"/>
      <c r="C109" s="1245"/>
      <c r="D109" s="1245"/>
      <c r="E109" s="1245" t="s">
        <v>3698</v>
      </c>
      <c r="F109" s="1245"/>
      <c r="G109" s="1250" t="s">
        <v>3667</v>
      </c>
      <c r="H109" s="1246" t="s">
        <v>3707</v>
      </c>
      <c r="I109" s="1245" t="s">
        <v>1006</v>
      </c>
    </row>
    <row r="110" spans="1:9" ht="13.8" x14ac:dyDescent="0.25">
      <c r="A110" s="22"/>
      <c r="B110" s="22"/>
      <c r="C110" s="22"/>
      <c r="D110" s="22"/>
      <c r="E110" s="22"/>
      <c r="F110" s="22"/>
      <c r="G110" s="22"/>
      <c r="H110" s="22"/>
      <c r="I110" s="22"/>
    </row>
    <row r="111" spans="1:9" ht="6.6" customHeight="1" x14ac:dyDescent="0.25">
      <c r="A111" s="22"/>
      <c r="B111" s="22"/>
      <c r="C111" s="22"/>
      <c r="D111" s="22"/>
      <c r="E111" s="22"/>
      <c r="F111" s="22"/>
      <c r="G111" s="22"/>
      <c r="H111" s="22"/>
      <c r="I111" s="22"/>
    </row>
    <row r="112" spans="1:9" ht="15" customHeight="1" x14ac:dyDescent="0.25">
      <c r="A112" s="1245" t="s">
        <v>3697</v>
      </c>
      <c r="B112" s="1245"/>
      <c r="C112" s="1245"/>
      <c r="D112" s="1245"/>
      <c r="E112" s="1245" t="s">
        <v>3698</v>
      </c>
      <c r="F112" s="1245"/>
      <c r="G112" s="1250" t="s">
        <v>3667</v>
      </c>
      <c r="H112" s="1246" t="s">
        <v>3707</v>
      </c>
      <c r="I112" s="1245" t="s">
        <v>1006</v>
      </c>
    </row>
    <row r="113" spans="1:9" ht="13.8" x14ac:dyDescent="0.25">
      <c r="A113" s="22"/>
      <c r="B113" s="22"/>
      <c r="C113" s="22"/>
      <c r="D113" s="22"/>
      <c r="E113" s="22"/>
      <c r="F113" s="22"/>
      <c r="G113" s="22"/>
      <c r="H113" s="22"/>
      <c r="I113" s="22"/>
    </row>
    <row r="114" spans="1:9" ht="9.6" customHeight="1" x14ac:dyDescent="0.25">
      <c r="A114" s="22"/>
      <c r="B114" s="22"/>
      <c r="C114" s="22"/>
      <c r="D114" s="22"/>
      <c r="E114" s="22"/>
      <c r="F114" s="22"/>
      <c r="G114" s="22"/>
      <c r="H114" s="22"/>
      <c r="I114" s="22"/>
    </row>
    <row r="115" spans="1:9" ht="13.8" x14ac:dyDescent="0.25">
      <c r="A115" s="22" t="s">
        <v>3699</v>
      </c>
      <c r="B115" s="22"/>
      <c r="C115" s="22"/>
      <c r="D115" s="22"/>
      <c r="E115" s="22"/>
      <c r="F115" s="22"/>
      <c r="G115" s="22"/>
      <c r="H115" s="22"/>
      <c r="I115" s="22"/>
    </row>
    <row r="116" spans="1:9" ht="13.8" x14ac:dyDescent="0.25">
      <c r="A116" s="22"/>
      <c r="B116" s="22"/>
      <c r="C116" s="22"/>
      <c r="D116" s="22"/>
      <c r="E116" s="22"/>
      <c r="F116" s="22"/>
      <c r="G116" s="22"/>
      <c r="H116" s="22"/>
      <c r="I116" s="22"/>
    </row>
    <row r="117" spans="1:9" ht="15" customHeight="1" x14ac:dyDescent="0.25">
      <c r="A117" s="22" t="s">
        <v>3700</v>
      </c>
      <c r="B117" s="22"/>
      <c r="C117" s="22"/>
      <c r="D117" s="22"/>
      <c r="E117" s="22"/>
      <c r="F117" s="22"/>
      <c r="G117" s="1250" t="s">
        <v>3667</v>
      </c>
      <c r="H117" s="1246" t="s">
        <v>3707</v>
      </c>
      <c r="I117" s="1245" t="s">
        <v>1006</v>
      </c>
    </row>
    <row r="118" spans="1:9" ht="13.8" x14ac:dyDescent="0.25">
      <c r="A118" s="22"/>
      <c r="B118" s="22"/>
      <c r="C118" s="22"/>
      <c r="D118" s="22"/>
      <c r="E118" s="22"/>
      <c r="F118" s="22"/>
      <c r="G118" s="22"/>
      <c r="H118" s="22"/>
      <c r="I118" s="22"/>
    </row>
    <row r="119" spans="1:9" ht="7.2" customHeight="1" x14ac:dyDescent="0.25">
      <c r="A119" s="22"/>
      <c r="B119" s="22"/>
      <c r="C119" s="22"/>
      <c r="D119" s="22"/>
      <c r="E119" s="22"/>
      <c r="F119" s="22"/>
      <c r="G119" s="22"/>
      <c r="H119" s="22"/>
      <c r="I119" s="22"/>
    </row>
    <row r="120" spans="1:9" ht="13.8" x14ac:dyDescent="0.25">
      <c r="A120" s="1245" t="s">
        <v>3701</v>
      </c>
      <c r="B120" s="22"/>
      <c r="C120" s="22"/>
      <c r="D120" s="22"/>
      <c r="E120" s="22"/>
      <c r="F120" s="22"/>
      <c r="G120" s="22"/>
      <c r="H120" s="22"/>
      <c r="I120" s="22"/>
    </row>
    <row r="121" spans="1:9" ht="13.8" x14ac:dyDescent="0.25">
      <c r="A121" s="22"/>
      <c r="B121" s="22"/>
      <c r="C121" s="22"/>
      <c r="D121" s="22"/>
      <c r="E121" s="22"/>
      <c r="F121" s="22"/>
      <c r="G121" s="22"/>
      <c r="H121" s="22"/>
      <c r="I121" s="22"/>
    </row>
    <row r="122" spans="1:9" ht="9.6" customHeight="1" x14ac:dyDescent="0.25">
      <c r="A122" s="22"/>
      <c r="B122" s="22"/>
      <c r="C122" s="22"/>
      <c r="D122" s="22"/>
      <c r="E122" s="22"/>
      <c r="F122" s="22"/>
      <c r="G122" s="22"/>
      <c r="H122" s="22"/>
      <c r="I122" s="22"/>
    </row>
    <row r="123" spans="1:9" ht="13.8" x14ac:dyDescent="0.25">
      <c r="A123" s="22" t="s">
        <v>3875</v>
      </c>
      <c r="B123" s="22"/>
      <c r="C123" s="22"/>
      <c r="D123" s="22"/>
      <c r="E123" s="22"/>
      <c r="F123" s="22"/>
      <c r="G123" s="22"/>
      <c r="H123" s="22"/>
      <c r="I123" s="22"/>
    </row>
    <row r="124" spans="1:9" ht="10.199999999999999" customHeight="1" x14ac:dyDescent="0.25">
      <c r="A124" s="22"/>
      <c r="B124" s="22"/>
      <c r="C124" s="22"/>
      <c r="D124" s="22"/>
      <c r="E124" s="22"/>
      <c r="F124" s="22"/>
      <c r="G124" s="22"/>
      <c r="H124" s="22"/>
      <c r="I124" s="22"/>
    </row>
    <row r="125" spans="1:9" ht="13.8" x14ac:dyDescent="0.25">
      <c r="A125" s="22" t="s">
        <v>3876</v>
      </c>
      <c r="B125" s="22"/>
      <c r="C125" s="22"/>
      <c r="D125" s="22"/>
      <c r="E125" s="22"/>
      <c r="F125" s="22"/>
      <c r="G125" s="1250" t="s">
        <v>3667</v>
      </c>
      <c r="H125" s="1246" t="s">
        <v>3707</v>
      </c>
      <c r="I125" s="1245" t="s">
        <v>1006</v>
      </c>
    </row>
    <row r="126" spans="1:9" ht="16.95" customHeight="1" x14ac:dyDescent="0.25">
      <c r="A126" s="22"/>
      <c r="B126" s="22"/>
      <c r="C126" s="22"/>
      <c r="D126" s="22"/>
      <c r="E126" s="22"/>
      <c r="F126" s="22"/>
      <c r="G126" s="22"/>
      <c r="H126" s="22"/>
      <c r="I126" s="22"/>
    </row>
    <row r="127" spans="1:9" ht="13.8" x14ac:dyDescent="0.25">
      <c r="A127" s="1245" t="s">
        <v>3701</v>
      </c>
      <c r="B127" s="22"/>
      <c r="C127" s="22"/>
      <c r="D127" s="22"/>
      <c r="E127" s="22"/>
      <c r="F127" s="22"/>
      <c r="G127" s="22"/>
      <c r="H127" s="22"/>
      <c r="I127" s="22"/>
    </row>
    <row r="128" spans="1:9" ht="13.8" x14ac:dyDescent="0.25">
      <c r="A128" s="22"/>
      <c r="B128" s="22"/>
      <c r="C128" s="22"/>
      <c r="D128" s="22"/>
      <c r="E128" s="22"/>
      <c r="F128" s="22"/>
      <c r="G128" s="22"/>
      <c r="H128" s="22"/>
      <c r="I128" s="22"/>
    </row>
    <row r="129" spans="1:9" ht="13.8" x14ac:dyDescent="0.25">
      <c r="A129" s="1245" t="s">
        <v>3701</v>
      </c>
      <c r="B129" s="22"/>
      <c r="C129" s="22"/>
      <c r="D129" s="22"/>
      <c r="E129" s="22"/>
      <c r="F129" s="22"/>
      <c r="G129" s="22"/>
      <c r="H129" s="22"/>
      <c r="I129" s="22"/>
    </row>
    <row r="130" spans="1:9" ht="13.8" x14ac:dyDescent="0.25">
      <c r="A130" s="22"/>
      <c r="B130" s="22"/>
      <c r="C130" s="22"/>
      <c r="D130" s="22"/>
      <c r="E130" s="22"/>
      <c r="F130" s="22"/>
      <c r="G130" s="22"/>
      <c r="H130" s="22"/>
      <c r="I130" s="22"/>
    </row>
    <row r="131" spans="1:9" ht="13.8" x14ac:dyDescent="0.25">
      <c r="A131" s="22"/>
      <c r="B131" s="22"/>
      <c r="C131" s="22"/>
      <c r="D131" s="22"/>
      <c r="E131" s="22"/>
      <c r="F131" s="22"/>
      <c r="G131" s="22"/>
      <c r="H131" s="22"/>
      <c r="I131" s="22"/>
    </row>
    <row r="132" spans="1:9" ht="13.8" x14ac:dyDescent="0.25">
      <c r="A132" s="22"/>
      <c r="B132" s="22"/>
      <c r="C132" s="22"/>
      <c r="D132" s="22"/>
      <c r="E132" s="22"/>
      <c r="F132" s="22"/>
      <c r="G132" s="22"/>
      <c r="H132" s="22"/>
      <c r="I132" s="22"/>
    </row>
    <row r="133" spans="1:9" ht="13.8" x14ac:dyDescent="0.25">
      <c r="A133" s="1244" t="s">
        <v>3702</v>
      </c>
      <c r="B133" s="22"/>
      <c r="C133" s="22"/>
      <c r="D133" s="22"/>
      <c r="E133" s="22"/>
      <c r="F133" s="22"/>
      <c r="G133" s="22"/>
      <c r="H133" s="22"/>
      <c r="I133" s="22"/>
    </row>
    <row r="134" spans="1:9" ht="13.8" x14ac:dyDescent="0.25">
      <c r="A134" s="22"/>
      <c r="B134" s="22"/>
      <c r="C134" s="22"/>
      <c r="D134" s="22"/>
      <c r="E134" s="22"/>
      <c r="F134" s="22"/>
      <c r="G134" s="22"/>
      <c r="H134" s="22"/>
      <c r="I134" s="22"/>
    </row>
    <row r="135" spans="1:9" ht="13.8" x14ac:dyDescent="0.25">
      <c r="A135" s="22" t="s">
        <v>83</v>
      </c>
      <c r="B135" s="22"/>
      <c r="C135" s="22"/>
      <c r="D135" s="22"/>
      <c r="E135" s="22" t="s">
        <v>84</v>
      </c>
      <c r="F135" s="22"/>
      <c r="G135" s="22"/>
      <c r="H135" s="22"/>
      <c r="I135" s="22"/>
    </row>
    <row r="136" spans="1:9" ht="13.8" x14ac:dyDescent="0.25">
      <c r="A136" s="22"/>
      <c r="B136" s="22"/>
      <c r="C136" s="22"/>
      <c r="D136" s="22"/>
      <c r="E136" s="22"/>
      <c r="F136" s="22"/>
      <c r="G136" s="22"/>
      <c r="H136" s="22"/>
      <c r="I136" s="22"/>
    </row>
    <row r="137" spans="1:9" ht="13.8" x14ac:dyDescent="0.25">
      <c r="A137" s="22"/>
      <c r="B137" s="22"/>
      <c r="C137" s="22"/>
      <c r="D137" s="22"/>
      <c r="E137" s="22"/>
      <c r="F137" s="22"/>
      <c r="G137" s="22"/>
      <c r="H137" s="22"/>
      <c r="I137" s="22"/>
    </row>
    <row r="138" spans="1:9" ht="13.8" x14ac:dyDescent="0.25">
      <c r="A138" s="1245" t="s">
        <v>3697</v>
      </c>
      <c r="B138" s="22"/>
      <c r="C138" s="22"/>
      <c r="D138" s="22"/>
      <c r="E138" s="1245" t="s">
        <v>3697</v>
      </c>
      <c r="F138" s="22"/>
      <c r="G138" s="22"/>
      <c r="H138" s="22"/>
      <c r="I138" s="22"/>
    </row>
    <row r="139" spans="1:9" ht="13.8" x14ac:dyDescent="0.25">
      <c r="A139" s="22"/>
      <c r="B139" s="22"/>
      <c r="C139" s="22"/>
      <c r="D139" s="22"/>
      <c r="E139" s="22"/>
      <c r="F139" s="22"/>
      <c r="G139" s="22"/>
      <c r="H139" s="22"/>
      <c r="I139" s="22"/>
    </row>
  </sheetData>
  <sheetProtection algorithmName="SHA-512" hashValue="8bGvZZcibTTirwpDXQ524b97dj+B1zUQP67UC+blHvMLugaSvCVJbiS7DS/sxgy6Gfy1cOB36IylaqHg045cCw==" saltValue="Tf8ZOtoi/mWWfbU7qNH78g==" spinCount="100000" sheet="1" objects="1" scenarios="1"/>
  <mergeCells count="29">
    <mergeCell ref="B53:C53"/>
    <mergeCell ref="F53:I53"/>
    <mergeCell ref="E95:F95"/>
    <mergeCell ref="A97:I97"/>
    <mergeCell ref="A68:I68"/>
    <mergeCell ref="A70:I70"/>
    <mergeCell ref="E72:F72"/>
    <mergeCell ref="H72:I72"/>
    <mergeCell ref="A87:I87"/>
    <mergeCell ref="A89:I89"/>
    <mergeCell ref="A39:I39"/>
    <mergeCell ref="A41:I41"/>
    <mergeCell ref="A47:I47"/>
    <mergeCell ref="E49:F49"/>
    <mergeCell ref="H49:I49"/>
    <mergeCell ref="A11:B11"/>
    <mergeCell ref="E11:F11"/>
    <mergeCell ref="A12:B12"/>
    <mergeCell ref="D4:E4"/>
    <mergeCell ref="A6:I6"/>
    <mergeCell ref="A7:H7"/>
    <mergeCell ref="E12:F12"/>
    <mergeCell ref="A17:B17"/>
    <mergeCell ref="A25:B25"/>
    <mergeCell ref="A16:H16"/>
    <mergeCell ref="A15:I15"/>
    <mergeCell ref="H17:I17"/>
    <mergeCell ref="H20:I20"/>
    <mergeCell ref="A23:I23"/>
  </mergeCells>
  <pageMargins left="0.59055118110236227" right="0.59055118110236227" top="0.78740157480314965" bottom="0.59055118110236227" header="0.31496062992125984" footer="0.31496062992125984"/>
  <pageSetup paperSize="9" scale="82"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I138"/>
  <sheetViews>
    <sheetView showGridLines="0" workbookViewId="0">
      <selection activeCell="D123" sqref="D123"/>
    </sheetView>
  </sheetViews>
  <sheetFormatPr baseColWidth="10" defaultRowHeight="13.2" x14ac:dyDescent="0.25"/>
  <cols>
    <col min="1" max="1" width="11.44140625" customWidth="1"/>
    <col min="3" max="3" width="12.109375" customWidth="1"/>
    <col min="4" max="4" width="11.44140625" customWidth="1"/>
    <col min="6" max="6" width="20.5546875" customWidth="1"/>
    <col min="7" max="7" width="11.109375" customWidth="1"/>
    <col min="9" max="9" width="12.44140625" customWidth="1"/>
  </cols>
  <sheetData>
    <row r="4" spans="1:9" x14ac:dyDescent="0.25">
      <c r="A4" s="727"/>
      <c r="D4" s="1428"/>
      <c r="E4" s="1428"/>
    </row>
    <row r="5" spans="1:9" ht="17.399999999999999" x14ac:dyDescent="0.25">
      <c r="A5" s="988"/>
    </row>
    <row r="6" spans="1:9" ht="22.8" x14ac:dyDescent="0.25">
      <c r="A6" s="1514" t="s">
        <v>3755</v>
      </c>
      <c r="B6" s="1514"/>
      <c r="C6" s="1514"/>
      <c r="D6" s="1514"/>
      <c r="E6" s="1514"/>
      <c r="F6" s="1514"/>
      <c r="G6" s="1514"/>
      <c r="H6" s="1514"/>
      <c r="I6" s="1514"/>
    </row>
    <row r="7" spans="1:9" x14ac:dyDescent="0.25">
      <c r="A7" s="1412"/>
      <c r="B7" s="1412"/>
      <c r="C7" s="1412"/>
      <c r="D7" s="1412"/>
      <c r="E7" s="1412"/>
      <c r="F7" s="1412"/>
      <c r="G7" s="1412"/>
      <c r="H7" s="1412"/>
    </row>
    <row r="8" spans="1:9" x14ac:dyDescent="0.25">
      <c r="A8" s="1273"/>
      <c r="B8" s="1273"/>
      <c r="C8" s="1273"/>
      <c r="D8" s="1273"/>
      <c r="E8" s="1273"/>
      <c r="F8" s="1273"/>
      <c r="G8" s="1273"/>
      <c r="H8" s="1273"/>
    </row>
    <row r="9" spans="1:9" ht="14.4" x14ac:dyDescent="0.3">
      <c r="A9" s="1243"/>
      <c r="B9" s="1243"/>
      <c r="C9" s="1243"/>
      <c r="D9" s="1243"/>
      <c r="E9" s="1244" t="s">
        <v>3756</v>
      </c>
      <c r="F9" s="22"/>
      <c r="G9" s="1245"/>
      <c r="H9" s="1245" t="s">
        <v>3704</v>
      </c>
      <c r="I9" s="1245"/>
    </row>
    <row r="10" spans="1:9" ht="13.8" x14ac:dyDescent="0.25">
      <c r="A10" s="1243"/>
      <c r="B10" s="1243"/>
      <c r="C10" s="1243"/>
      <c r="D10" s="1243"/>
      <c r="E10" s="1243"/>
      <c r="F10" s="1243"/>
      <c r="G10" s="1243"/>
      <c r="H10" s="1243"/>
      <c r="I10" s="22"/>
    </row>
    <row r="11" spans="1:9" ht="13.8" x14ac:dyDescent="0.25">
      <c r="A11" s="1512" t="s">
        <v>2783</v>
      </c>
      <c r="B11" s="1512"/>
      <c r="C11" s="1243"/>
      <c r="D11" s="1243"/>
      <c r="E11" s="1512" t="s">
        <v>3757</v>
      </c>
      <c r="F11" s="1512"/>
      <c r="G11" s="1243"/>
      <c r="H11" s="1243"/>
      <c r="I11" s="22"/>
    </row>
    <row r="12" spans="1:9" ht="13.8" x14ac:dyDescent="0.25">
      <c r="A12" s="1513" t="str">
        <f>CONCATENATE(Input!E8," ",Input!E9)</f>
        <v xml:space="preserve"> </v>
      </c>
      <c r="B12" s="1513"/>
      <c r="C12" s="1243"/>
      <c r="D12" s="1243"/>
      <c r="E12" s="1506" t="str">
        <f>IF(Input!E10="","",Input!E10)</f>
        <v/>
      </c>
      <c r="F12" s="1506"/>
      <c r="G12" s="1243"/>
      <c r="H12" s="1243"/>
      <c r="I12" s="22"/>
    </row>
    <row r="13" spans="1:9" ht="13.8" x14ac:dyDescent="0.25">
      <c r="A13" s="1243"/>
      <c r="B13" s="1243"/>
      <c r="C13" s="1243"/>
      <c r="D13" s="1243"/>
      <c r="E13" s="1243"/>
      <c r="F13" s="1243"/>
      <c r="G13" s="1243"/>
      <c r="H13" s="1243"/>
      <c r="I13" s="22"/>
    </row>
    <row r="14" spans="1:9" ht="13.8" x14ac:dyDescent="0.25">
      <c r="A14" s="1243"/>
      <c r="B14" s="1243"/>
      <c r="C14" s="1243"/>
      <c r="D14" s="1243"/>
      <c r="E14" s="1243"/>
      <c r="F14" s="1243"/>
      <c r="G14" s="1243"/>
      <c r="H14" s="1243"/>
      <c r="I14" s="22"/>
    </row>
    <row r="15" spans="1:9" ht="17.399999999999999" x14ac:dyDescent="0.3">
      <c r="A15" s="1508" t="s">
        <v>3758</v>
      </c>
      <c r="B15" s="1508"/>
      <c r="C15" s="1508"/>
      <c r="D15" s="1508"/>
      <c r="E15" s="1508"/>
      <c r="F15" s="1508"/>
      <c r="G15" s="1508"/>
      <c r="H15" s="1508"/>
      <c r="I15" s="1508"/>
    </row>
    <row r="16" spans="1:9" ht="13.8" x14ac:dyDescent="0.25">
      <c r="A16" s="1507"/>
      <c r="B16" s="1507"/>
      <c r="C16" s="1507"/>
      <c r="D16" s="1507"/>
      <c r="E16" s="1507"/>
      <c r="F16" s="1507"/>
      <c r="G16" s="1507"/>
      <c r="H16" s="1507"/>
      <c r="I16" s="22"/>
    </row>
    <row r="17" spans="1:9" ht="12.75" customHeight="1" x14ac:dyDescent="0.25">
      <c r="A17" s="1506" t="s">
        <v>3759</v>
      </c>
      <c r="B17" s="1506"/>
      <c r="C17" s="1246"/>
      <c r="D17" s="1246"/>
      <c r="E17" s="1246"/>
      <c r="F17" s="1246"/>
      <c r="G17" s="1246" t="s">
        <v>3656</v>
      </c>
      <c r="H17" s="1509">
        <f>Input!E19</f>
        <v>100000</v>
      </c>
      <c r="I17" s="1510"/>
    </row>
    <row r="18" spans="1:9" ht="13.8" x14ac:dyDescent="0.25">
      <c r="A18" s="22"/>
      <c r="B18" s="22"/>
      <c r="C18" s="22"/>
      <c r="D18" s="22"/>
      <c r="E18" s="22"/>
      <c r="F18" s="22"/>
      <c r="G18" s="22"/>
      <c r="H18" s="22"/>
      <c r="I18" s="22"/>
    </row>
    <row r="19" spans="1:9" ht="13.8" x14ac:dyDescent="0.25">
      <c r="A19" s="22" t="s">
        <v>3434</v>
      </c>
      <c r="B19" s="22"/>
      <c r="C19" s="22"/>
      <c r="D19" s="22"/>
      <c r="E19" s="22"/>
      <c r="F19" s="22"/>
      <c r="G19" s="22"/>
      <c r="H19" s="22"/>
      <c r="I19" s="22"/>
    </row>
    <row r="20" spans="1:9" ht="13.8" x14ac:dyDescent="0.25">
      <c r="A20" s="22" t="s">
        <v>3435</v>
      </c>
      <c r="B20" s="22"/>
      <c r="C20" s="22"/>
      <c r="D20" s="22"/>
      <c r="E20" s="22"/>
      <c r="F20" s="22"/>
      <c r="G20" s="22" t="s">
        <v>3760</v>
      </c>
      <c r="H20" s="1511">
        <f>Input!E15</f>
        <v>45292</v>
      </c>
      <c r="I20" s="1511"/>
    </row>
    <row r="21" spans="1:9" ht="13.8" x14ac:dyDescent="0.25">
      <c r="A21" s="22"/>
      <c r="B21" s="22"/>
      <c r="C21" s="22"/>
      <c r="D21" s="22"/>
      <c r="E21" s="22"/>
      <c r="F21" s="22"/>
      <c r="G21" s="22"/>
      <c r="H21" s="22"/>
      <c r="I21" s="22"/>
    </row>
    <row r="22" spans="1:9" ht="13.8" x14ac:dyDescent="0.25">
      <c r="A22" s="22"/>
      <c r="B22" s="22"/>
      <c r="C22" s="22"/>
      <c r="D22" s="22"/>
      <c r="E22" s="22"/>
      <c r="F22" s="22"/>
      <c r="G22" s="22"/>
      <c r="H22" s="22"/>
      <c r="I22" s="22"/>
    </row>
    <row r="23" spans="1:9" ht="17.399999999999999" x14ac:dyDescent="0.3">
      <c r="A23" s="1508" t="s">
        <v>3468</v>
      </c>
      <c r="B23" s="1508"/>
      <c r="C23" s="1508"/>
      <c r="D23" s="1508"/>
      <c r="E23" s="1508"/>
      <c r="F23" s="1508"/>
      <c r="G23" s="1508"/>
      <c r="H23" s="1508"/>
      <c r="I23" s="1508"/>
    </row>
    <row r="24" spans="1:9" ht="13.8" x14ac:dyDescent="0.25">
      <c r="A24" s="22"/>
      <c r="B24" s="22"/>
      <c r="C24" s="22"/>
      <c r="D24" s="22"/>
      <c r="E24" s="22"/>
      <c r="F24" s="22"/>
      <c r="G24" s="22"/>
      <c r="H24" s="22"/>
      <c r="I24" s="22"/>
    </row>
    <row r="25" spans="1:9" ht="13.8" x14ac:dyDescent="0.25">
      <c r="A25" s="1506" t="s">
        <v>3761</v>
      </c>
      <c r="B25" s="1506"/>
      <c r="C25" s="1246"/>
      <c r="D25" s="1246"/>
      <c r="E25" s="1247">
        <f>H20</f>
        <v>45292</v>
      </c>
      <c r="F25" s="1246"/>
      <c r="G25" s="1246"/>
      <c r="H25" s="22"/>
      <c r="I25" s="1248"/>
    </row>
    <row r="26" spans="1:9" ht="13.8" x14ac:dyDescent="0.25">
      <c r="A26" s="22"/>
      <c r="B26" s="22"/>
      <c r="C26" s="22"/>
      <c r="D26" s="22"/>
      <c r="E26" s="22"/>
      <c r="F26" s="22"/>
      <c r="G26" s="22"/>
      <c r="H26" s="22"/>
      <c r="I26" s="22"/>
    </row>
    <row r="27" spans="1:9" ht="13.8" x14ac:dyDescent="0.25">
      <c r="A27" s="22" t="s">
        <v>3762</v>
      </c>
      <c r="B27" s="22"/>
      <c r="C27" s="22"/>
      <c r="D27" s="22"/>
      <c r="E27" s="22" t="str">
        <f>VLOOKUP(Input!K9,Input!L9:M13,2,FALSE)</f>
        <v>L4 (AHV-Lohn)</v>
      </c>
      <c r="F27" s="22"/>
      <c r="G27" s="22"/>
      <c r="H27" s="22"/>
      <c r="I27" s="22"/>
    </row>
    <row r="28" spans="1:9" ht="13.8" x14ac:dyDescent="0.25">
      <c r="A28" s="22" t="s">
        <v>2549</v>
      </c>
      <c r="B28" s="22"/>
      <c r="C28" s="22"/>
      <c r="D28" s="22"/>
      <c r="E28" s="22" t="str">
        <f>VLOOKUP(Input!K15,Input!L15:M17,2,FALSE)</f>
        <v>keine Eintrittsschwelle</v>
      </c>
      <c r="F28" s="22"/>
      <c r="G28" s="22"/>
      <c r="H28" s="22"/>
      <c r="I28" s="22"/>
    </row>
    <row r="29" spans="1:9" ht="13.8" x14ac:dyDescent="0.25">
      <c r="A29" s="22" t="s">
        <v>3763</v>
      </c>
      <c r="B29" s="22"/>
      <c r="C29" s="22"/>
      <c r="D29" s="22"/>
      <c r="E29" s="22" t="str">
        <f>VLOOKUP(Input!K18,Input!L18:M24,2,FALSE)</f>
        <v>ohne Plafond</v>
      </c>
      <c r="F29" s="22"/>
      <c r="G29" s="22"/>
      <c r="H29" s="22"/>
      <c r="I29" s="22"/>
    </row>
    <row r="30" spans="1:9" ht="13.8" x14ac:dyDescent="0.25">
      <c r="A30" s="22"/>
      <c r="B30" s="22"/>
      <c r="C30" s="22"/>
      <c r="D30" s="22"/>
      <c r="E30" s="22"/>
      <c r="F30" s="22"/>
      <c r="G30" s="22"/>
      <c r="H30" s="22"/>
      <c r="I30" s="22"/>
    </row>
    <row r="31" spans="1:9" ht="13.8" x14ac:dyDescent="0.25">
      <c r="A31" s="22" t="s">
        <v>3764</v>
      </c>
      <c r="B31" s="22"/>
      <c r="C31" s="22"/>
      <c r="D31" s="22"/>
      <c r="E31" s="22" t="str">
        <f>VLOOKUP(Input!K25,Input!L25:M33,2,FALSE)</f>
        <v>A1 (7/10/15/18%)</v>
      </c>
      <c r="F31" s="22"/>
      <c r="G31" s="22"/>
      <c r="H31" s="22"/>
      <c r="I31" s="22"/>
    </row>
    <row r="32" spans="1:9" ht="13.8" x14ac:dyDescent="0.25">
      <c r="A32" s="22" t="s">
        <v>3765</v>
      </c>
      <c r="B32" s="22"/>
      <c r="C32" s="22"/>
      <c r="D32" s="22"/>
      <c r="E32" s="22" t="str">
        <f>VLOOKUP(Input!K36,Input!L34:M36,2,FALSE)</f>
        <v>kein Zusatzsparen</v>
      </c>
      <c r="F32" s="22"/>
      <c r="G32" s="22"/>
      <c r="H32" s="22"/>
      <c r="I32" s="22"/>
    </row>
    <row r="33" spans="1:9" ht="13.8" x14ac:dyDescent="0.25">
      <c r="A33" s="22"/>
      <c r="B33" s="22"/>
      <c r="C33" s="22"/>
      <c r="D33" s="22"/>
      <c r="E33" s="22"/>
      <c r="F33" s="22"/>
      <c r="G33" s="22"/>
      <c r="H33" s="22"/>
      <c r="I33" s="22"/>
    </row>
    <row r="34" spans="1:9" ht="13.8" x14ac:dyDescent="0.25">
      <c r="A34" s="22" t="s">
        <v>3766</v>
      </c>
      <c r="B34" s="22"/>
      <c r="C34" s="22"/>
      <c r="D34" s="22"/>
      <c r="E34" s="22" t="str">
        <f>VLOOKUP(Input!K37,Input!L37:M50,2,FALSE)</f>
        <v>R2 (40%)</v>
      </c>
      <c r="F34" s="1249"/>
      <c r="G34" s="22"/>
      <c r="H34" s="22"/>
      <c r="I34" s="22"/>
    </row>
    <row r="35" spans="1:9" ht="13.8" x14ac:dyDescent="0.25">
      <c r="A35" s="22" t="s">
        <v>3767</v>
      </c>
      <c r="B35" s="22"/>
      <c r="C35" s="22"/>
      <c r="D35" s="22"/>
      <c r="E35" s="22" t="str">
        <f>VLOOKUP(Input!K53,Input!L53:M58,2,FALSE)</f>
        <v>kein zusätzliches TK</v>
      </c>
      <c r="F35" s="22"/>
      <c r="G35" s="22"/>
      <c r="H35" s="22"/>
      <c r="I35" s="22"/>
    </row>
    <row r="36" spans="1:9" ht="13.8" x14ac:dyDescent="0.25">
      <c r="A36" s="22"/>
      <c r="B36" s="22"/>
      <c r="C36" s="22"/>
      <c r="D36" s="22"/>
      <c r="E36" s="22"/>
      <c r="F36" s="22"/>
      <c r="G36" s="22"/>
      <c r="H36" s="22"/>
      <c r="I36" s="22"/>
    </row>
    <row r="37" spans="1:9" ht="13.8" x14ac:dyDescent="0.25">
      <c r="A37" s="22"/>
      <c r="B37" s="22"/>
      <c r="C37" s="22"/>
      <c r="D37" s="22"/>
      <c r="E37" s="22"/>
      <c r="F37" s="22"/>
      <c r="G37" s="22"/>
      <c r="H37" s="22"/>
      <c r="I37" s="22"/>
    </row>
    <row r="38" spans="1:9" ht="13.8" x14ac:dyDescent="0.25">
      <c r="A38" s="22"/>
      <c r="B38" s="22"/>
      <c r="C38" s="22"/>
      <c r="D38" s="22"/>
      <c r="E38" s="22"/>
      <c r="F38" s="22"/>
      <c r="G38" s="22"/>
      <c r="H38" s="22"/>
      <c r="I38" s="22"/>
    </row>
    <row r="39" spans="1:9" ht="17.399999999999999" x14ac:dyDescent="0.3">
      <c r="A39" s="1508" t="s">
        <v>3768</v>
      </c>
      <c r="B39" s="1508"/>
      <c r="C39" s="1508"/>
      <c r="D39" s="1508"/>
      <c r="E39" s="1508"/>
      <c r="F39" s="1508"/>
      <c r="G39" s="1508"/>
      <c r="H39" s="1508"/>
      <c r="I39" s="1508"/>
    </row>
    <row r="40" spans="1:9" ht="13.8" x14ac:dyDescent="0.25">
      <c r="A40" s="22"/>
      <c r="B40" s="22"/>
      <c r="C40" s="22"/>
      <c r="D40" s="22"/>
      <c r="E40" s="22"/>
      <c r="F40" s="22"/>
      <c r="G40" s="22"/>
      <c r="H40" s="22"/>
      <c r="I40" s="22"/>
    </row>
    <row r="41" spans="1:9" ht="13.8" x14ac:dyDescent="0.25">
      <c r="A41" s="1506" t="s">
        <v>3413</v>
      </c>
      <c r="B41" s="1506"/>
      <c r="C41" s="1506"/>
      <c r="D41" s="1506"/>
      <c r="E41" s="1506"/>
      <c r="F41" s="1506"/>
      <c r="G41" s="1506"/>
      <c r="H41" s="1506"/>
      <c r="I41" s="1506"/>
    </row>
    <row r="42" spans="1:9" ht="13.8" x14ac:dyDescent="0.25">
      <c r="A42" s="22"/>
      <c r="B42" s="22"/>
      <c r="C42" s="22"/>
      <c r="D42" s="22"/>
      <c r="E42" s="22"/>
      <c r="F42" s="22"/>
      <c r="G42" s="22"/>
      <c r="H42" s="22"/>
      <c r="I42" s="22"/>
    </row>
    <row r="43" spans="1:9" ht="13.8" x14ac:dyDescent="0.25">
      <c r="A43" s="1249" t="str">
        <f>IF(Input!K51=2,"X","")</f>
        <v/>
      </c>
      <c r="B43" s="22" t="s">
        <v>2685</v>
      </c>
      <c r="D43" s="1249" t="str">
        <f>IF(Input!K51=1,"X","")</f>
        <v>X</v>
      </c>
      <c r="E43" s="22" t="s">
        <v>3769</v>
      </c>
      <c r="F43" s="22"/>
      <c r="G43" s="22"/>
      <c r="H43" s="22"/>
      <c r="I43" s="22"/>
    </row>
    <row r="44" spans="1:9" ht="13.8" x14ac:dyDescent="0.25">
      <c r="A44" s="22"/>
      <c r="B44" s="22"/>
      <c r="C44" s="22"/>
      <c r="E44" s="22" t="s">
        <v>3770</v>
      </c>
      <c r="F44" s="22"/>
      <c r="G44" s="22"/>
      <c r="H44" s="22"/>
      <c r="I44" s="22"/>
    </row>
    <row r="45" spans="1:9" ht="13.8" x14ac:dyDescent="0.25">
      <c r="A45" s="22"/>
      <c r="B45" s="22"/>
      <c r="C45" s="22"/>
      <c r="D45" s="22"/>
      <c r="E45" s="22" t="s">
        <v>3771</v>
      </c>
      <c r="F45" s="22"/>
      <c r="G45" s="22"/>
      <c r="H45" s="22"/>
      <c r="I45" s="22"/>
    </row>
    <row r="46" spans="1:9" ht="13.8" x14ac:dyDescent="0.25">
      <c r="A46" s="22"/>
      <c r="B46" s="22"/>
      <c r="C46" s="22"/>
      <c r="D46" s="22"/>
      <c r="E46" s="22"/>
      <c r="F46" s="22"/>
      <c r="G46" s="22"/>
      <c r="H46" s="22"/>
      <c r="I46" s="22"/>
    </row>
    <row r="47" spans="1:9" ht="17.399999999999999" x14ac:dyDescent="0.3">
      <c r="A47" s="1508" t="s">
        <v>3772</v>
      </c>
      <c r="B47" s="1508"/>
      <c r="C47" s="1508"/>
      <c r="D47" s="1508"/>
      <c r="E47" s="1508"/>
      <c r="F47" s="1508"/>
      <c r="G47" s="1508"/>
      <c r="H47" s="1508"/>
      <c r="I47" s="1508"/>
    </row>
    <row r="48" spans="1:9" ht="13.8" x14ac:dyDescent="0.25">
      <c r="A48" s="22"/>
      <c r="B48" s="22"/>
      <c r="C48" s="22"/>
      <c r="D48" s="22"/>
      <c r="E48" s="22"/>
      <c r="F48" s="22"/>
      <c r="G48" s="22"/>
      <c r="H48" s="22"/>
      <c r="I48" s="22"/>
    </row>
    <row r="49" spans="1:9" ht="12.75" customHeight="1" x14ac:dyDescent="0.25">
      <c r="A49" s="1246" t="s">
        <v>3773</v>
      </c>
      <c r="B49" s="1250" t="s">
        <v>3667</v>
      </c>
      <c r="C49" s="1246" t="s">
        <v>3774</v>
      </c>
      <c r="D49" s="1250" t="s">
        <v>3667</v>
      </c>
      <c r="E49" s="1506" t="s">
        <v>3775</v>
      </c>
      <c r="F49" s="1506"/>
      <c r="G49" s="1250" t="s">
        <v>3667</v>
      </c>
      <c r="H49" s="1506" t="s">
        <v>3776</v>
      </c>
      <c r="I49" s="1506"/>
    </row>
    <row r="50" spans="1:9" ht="13.8" x14ac:dyDescent="0.25">
      <c r="A50" s="22"/>
      <c r="B50" s="22"/>
      <c r="C50" s="22"/>
      <c r="D50" s="22"/>
      <c r="E50" s="22"/>
      <c r="F50" s="22"/>
      <c r="G50" s="22"/>
      <c r="H50" s="22"/>
      <c r="I50" s="22"/>
    </row>
    <row r="51" spans="1:9" ht="13.8" x14ac:dyDescent="0.25">
      <c r="A51" s="22"/>
      <c r="B51" s="1250" t="s">
        <v>3667</v>
      </c>
      <c r="C51" s="22" t="s">
        <v>3777</v>
      </c>
      <c r="D51" s="1250" t="s">
        <v>3667</v>
      </c>
      <c r="E51" s="22" t="s">
        <v>3778</v>
      </c>
      <c r="F51" s="22"/>
      <c r="G51" s="22"/>
      <c r="H51" s="22"/>
      <c r="I51" s="22"/>
    </row>
    <row r="52" spans="1:9" ht="23.25" customHeight="1" x14ac:dyDescent="0.25">
      <c r="A52" s="22"/>
      <c r="B52" s="22"/>
      <c r="C52" s="22"/>
      <c r="D52" s="22"/>
      <c r="E52" s="22"/>
      <c r="F52" s="22"/>
      <c r="G52" s="22"/>
      <c r="H52" s="22"/>
      <c r="I52" s="22"/>
    </row>
    <row r="53" spans="1:9" ht="18.75" customHeight="1" x14ac:dyDescent="0.25">
      <c r="A53" s="1246" t="s">
        <v>3779</v>
      </c>
      <c r="B53" s="1515" t="s">
        <v>78</v>
      </c>
      <c r="C53" s="1515"/>
      <c r="D53" s="22"/>
      <c r="E53" s="22" t="s">
        <v>3780</v>
      </c>
      <c r="F53" s="1245"/>
      <c r="G53" s="1510" t="s">
        <v>3781</v>
      </c>
      <c r="H53" s="1510"/>
      <c r="I53" s="1510"/>
    </row>
    <row r="54" spans="1:9" ht="13.8" x14ac:dyDescent="0.25">
      <c r="A54" s="22"/>
      <c r="B54" s="22"/>
      <c r="C54" s="22"/>
      <c r="D54" s="22"/>
      <c r="E54" s="22"/>
      <c r="F54" s="22"/>
      <c r="G54" s="22"/>
      <c r="H54" s="22"/>
      <c r="I54" s="22"/>
    </row>
    <row r="55" spans="1:9" ht="13.8" x14ac:dyDescent="0.25">
      <c r="A55" s="22" t="s">
        <v>3782</v>
      </c>
      <c r="B55" s="22"/>
      <c r="C55" s="22"/>
      <c r="D55" s="22"/>
      <c r="E55" s="22"/>
      <c r="F55" s="22"/>
      <c r="G55" s="22"/>
      <c r="H55" s="22"/>
      <c r="I55" s="22"/>
    </row>
    <row r="56" spans="1:9" ht="13.8" x14ac:dyDescent="0.25">
      <c r="A56" s="22"/>
      <c r="B56" s="22"/>
      <c r="C56" s="22"/>
      <c r="D56" s="22"/>
      <c r="E56" s="22"/>
      <c r="F56" s="22"/>
      <c r="G56" s="22"/>
      <c r="H56" s="22"/>
      <c r="I56" s="22"/>
    </row>
    <row r="57" spans="1:9" ht="13.8" x14ac:dyDescent="0.25">
      <c r="A57" s="22"/>
      <c r="B57" s="22"/>
      <c r="C57" s="22"/>
      <c r="D57" s="22"/>
      <c r="E57" s="22"/>
      <c r="F57" s="22"/>
      <c r="G57" s="22"/>
      <c r="H57" s="22"/>
      <c r="I57" s="22"/>
    </row>
    <row r="58" spans="1:9" ht="13.8" x14ac:dyDescent="0.25">
      <c r="A58" s="22"/>
      <c r="B58" s="22"/>
      <c r="C58" s="22"/>
      <c r="D58" s="22"/>
      <c r="E58" s="22"/>
      <c r="F58" s="22"/>
      <c r="G58" s="22"/>
      <c r="H58" s="22"/>
      <c r="I58" s="22"/>
    </row>
    <row r="59" spans="1:9" ht="13.8" x14ac:dyDescent="0.25">
      <c r="A59" s="22"/>
      <c r="B59" s="22"/>
      <c r="C59" s="22"/>
      <c r="D59" s="22"/>
      <c r="E59" s="22"/>
      <c r="F59" s="22"/>
      <c r="G59" s="22"/>
      <c r="H59" s="22"/>
      <c r="I59" s="22"/>
    </row>
    <row r="60" spans="1:9" ht="13.8" x14ac:dyDescent="0.25">
      <c r="A60" s="22"/>
      <c r="B60" s="22"/>
      <c r="C60" s="22"/>
      <c r="D60" s="22"/>
      <c r="E60" s="22"/>
      <c r="F60" s="22"/>
      <c r="G60" s="22"/>
      <c r="H60" s="22"/>
      <c r="I60" s="22"/>
    </row>
    <row r="61" spans="1:9" ht="13.8" x14ac:dyDescent="0.25">
      <c r="A61" s="22"/>
      <c r="B61" s="22"/>
      <c r="C61" s="22"/>
      <c r="D61" s="22"/>
      <c r="E61" s="22"/>
      <c r="F61" s="22"/>
      <c r="G61" s="22"/>
      <c r="H61" s="22"/>
      <c r="I61" s="22"/>
    </row>
    <row r="62" spans="1:9" ht="13.8" x14ac:dyDescent="0.25">
      <c r="A62" s="22"/>
      <c r="B62" s="22"/>
      <c r="C62" s="22"/>
      <c r="D62" s="22"/>
      <c r="E62" s="22"/>
      <c r="F62" s="22"/>
      <c r="G62" s="22"/>
      <c r="H62" s="22"/>
      <c r="I62" s="22"/>
    </row>
    <row r="63" spans="1:9" ht="13.8" x14ac:dyDescent="0.25">
      <c r="A63" s="22"/>
      <c r="B63" s="22"/>
      <c r="C63" s="22"/>
      <c r="D63" s="22"/>
      <c r="E63" s="22"/>
      <c r="F63" s="22"/>
      <c r="G63" s="22"/>
      <c r="H63" s="22"/>
      <c r="I63" s="22"/>
    </row>
    <row r="64" spans="1:9" ht="13.8" x14ac:dyDescent="0.25">
      <c r="A64" s="22"/>
      <c r="B64" s="22"/>
      <c r="C64" s="22"/>
      <c r="D64" s="22"/>
      <c r="E64" s="22"/>
      <c r="F64" s="22"/>
      <c r="G64" s="22"/>
      <c r="H64" s="22"/>
      <c r="I64" s="22"/>
    </row>
    <row r="65" spans="1:9" ht="13.8" x14ac:dyDescent="0.25">
      <c r="A65" s="22"/>
      <c r="B65" s="22"/>
      <c r="C65" s="22"/>
      <c r="D65" s="22"/>
      <c r="E65" s="22"/>
      <c r="F65" s="22"/>
      <c r="G65" s="22"/>
      <c r="H65" s="22"/>
      <c r="I65" s="22"/>
    </row>
    <row r="66" spans="1:9" ht="13.8" x14ac:dyDescent="0.25">
      <c r="A66" s="22"/>
      <c r="B66" s="22"/>
      <c r="C66" s="22"/>
      <c r="D66" s="22"/>
      <c r="E66" s="22"/>
      <c r="F66" s="22"/>
      <c r="G66" s="22"/>
      <c r="H66" s="22"/>
      <c r="I66" s="22"/>
    </row>
    <row r="67" spans="1:9" ht="13.8" x14ac:dyDescent="0.25">
      <c r="A67" s="22"/>
      <c r="B67" s="22"/>
      <c r="C67" s="22"/>
      <c r="D67" s="22"/>
      <c r="E67" s="22"/>
      <c r="F67" s="22"/>
      <c r="G67" s="22"/>
      <c r="H67" s="22"/>
      <c r="I67" s="22"/>
    </row>
    <row r="68" spans="1:9" ht="13.8" x14ac:dyDescent="0.25">
      <c r="A68" s="22"/>
      <c r="B68" s="22"/>
      <c r="C68" s="22"/>
      <c r="D68" s="22"/>
      <c r="E68" s="22"/>
      <c r="F68" s="22"/>
      <c r="G68" s="22"/>
      <c r="H68" s="22"/>
      <c r="I68" s="22"/>
    </row>
    <row r="69" spans="1:9" ht="17.399999999999999" x14ac:dyDescent="0.3">
      <c r="A69" s="1508" t="s">
        <v>3783</v>
      </c>
      <c r="B69" s="1508"/>
      <c r="C69" s="1508"/>
      <c r="D69" s="1508"/>
      <c r="E69" s="1508"/>
      <c r="F69" s="1508"/>
      <c r="G69" s="1508"/>
      <c r="H69" s="1508"/>
      <c r="I69" s="1508"/>
    </row>
    <row r="70" spans="1:9" ht="13.8" x14ac:dyDescent="0.25">
      <c r="A70" s="22"/>
      <c r="B70" s="22"/>
      <c r="C70" s="22"/>
      <c r="D70" s="22"/>
      <c r="E70" s="22"/>
      <c r="F70" s="22"/>
      <c r="G70" s="22"/>
      <c r="H70" s="22"/>
      <c r="I70" s="22"/>
    </row>
    <row r="71" spans="1:9" ht="13.8" x14ac:dyDescent="0.25">
      <c r="A71" s="1506" t="s">
        <v>3784</v>
      </c>
      <c r="B71" s="1506"/>
      <c r="C71" s="1506"/>
      <c r="D71" s="1506"/>
      <c r="E71" s="1506"/>
      <c r="F71" s="1506"/>
      <c r="G71" s="1506"/>
      <c r="H71" s="1506"/>
      <c r="I71" s="1506"/>
    </row>
    <row r="72" spans="1:9" ht="6" customHeight="1" x14ac:dyDescent="0.25">
      <c r="A72" s="22"/>
      <c r="B72" s="22"/>
      <c r="C72" s="22"/>
      <c r="D72" s="22"/>
      <c r="E72" s="22"/>
      <c r="F72" s="22"/>
      <c r="G72" s="22"/>
      <c r="H72" s="22"/>
      <c r="I72" s="22"/>
    </row>
    <row r="73" spans="1:9" ht="13.8" x14ac:dyDescent="0.25">
      <c r="A73" s="22"/>
      <c r="B73" s="1250"/>
      <c r="C73" s="1246"/>
      <c r="D73" s="1250" t="s">
        <v>3667</v>
      </c>
      <c r="E73" s="1506" t="s">
        <v>3785</v>
      </c>
      <c r="F73" s="1506"/>
      <c r="G73" s="1250" t="s">
        <v>3667</v>
      </c>
      <c r="H73" s="1506" t="s">
        <v>3786</v>
      </c>
      <c r="I73" s="1506"/>
    </row>
    <row r="74" spans="1:9" ht="13.8" x14ac:dyDescent="0.25">
      <c r="A74" s="22"/>
      <c r="B74" s="22"/>
      <c r="C74" s="22"/>
      <c r="D74" s="22"/>
      <c r="E74" s="22"/>
      <c r="F74" s="22"/>
      <c r="G74" s="22"/>
      <c r="H74" s="22"/>
      <c r="I74" s="22"/>
    </row>
    <row r="75" spans="1:9" ht="13.8" x14ac:dyDescent="0.25">
      <c r="A75" s="22"/>
      <c r="B75" s="1250"/>
      <c r="C75" s="22"/>
      <c r="D75" s="1250" t="s">
        <v>3667</v>
      </c>
      <c r="E75" s="22" t="s">
        <v>3787</v>
      </c>
      <c r="F75" s="22"/>
      <c r="G75" s="1250" t="s">
        <v>3667</v>
      </c>
      <c r="H75" s="22" t="s">
        <v>3788</v>
      </c>
      <c r="I75" s="22"/>
    </row>
    <row r="76" spans="1:9" ht="13.8" x14ac:dyDescent="0.25">
      <c r="A76" s="22"/>
      <c r="B76" s="22"/>
      <c r="C76" s="22"/>
      <c r="D76" s="22"/>
      <c r="E76" s="22"/>
      <c r="F76" s="22"/>
      <c r="G76" s="22"/>
      <c r="H76" s="22"/>
      <c r="I76" s="22"/>
    </row>
    <row r="77" spans="1:9" ht="13.8" x14ac:dyDescent="0.25">
      <c r="A77" s="22" t="s">
        <v>3791</v>
      </c>
      <c r="B77" s="22"/>
      <c r="C77" s="22"/>
      <c r="D77" s="1250" t="s">
        <v>3667</v>
      </c>
      <c r="E77" s="22" t="s">
        <v>3789</v>
      </c>
      <c r="F77" s="22"/>
      <c r="G77" s="1250" t="s">
        <v>3667</v>
      </c>
      <c r="H77" s="22" t="s">
        <v>3790</v>
      </c>
      <c r="I77" s="22"/>
    </row>
    <row r="78" spans="1:9" ht="13.8" x14ac:dyDescent="0.25">
      <c r="A78" s="22"/>
      <c r="B78" s="22"/>
      <c r="C78" s="22"/>
      <c r="D78" s="22"/>
      <c r="E78" s="22"/>
      <c r="F78" s="22"/>
      <c r="G78" s="22"/>
      <c r="H78" s="22"/>
      <c r="I78" s="22"/>
    </row>
    <row r="79" spans="1:9" ht="13.8" x14ac:dyDescent="0.25">
      <c r="A79" s="22" t="s">
        <v>3044</v>
      </c>
      <c r="B79" s="22"/>
      <c r="C79" s="22"/>
      <c r="D79" s="22"/>
      <c r="E79" s="1245" t="s">
        <v>3706</v>
      </c>
      <c r="F79" s="22"/>
      <c r="G79" s="22"/>
      <c r="H79" s="22"/>
      <c r="I79" s="22"/>
    </row>
    <row r="80" spans="1:9" ht="13.8" x14ac:dyDescent="0.25">
      <c r="A80" s="22"/>
      <c r="B80" s="22"/>
      <c r="C80" s="22"/>
      <c r="D80" s="22"/>
      <c r="E80" s="22"/>
      <c r="F80" s="22"/>
      <c r="G80" s="22"/>
      <c r="H80" s="22"/>
      <c r="I80" s="22"/>
    </row>
    <row r="81" spans="1:9" ht="13.8" x14ac:dyDescent="0.25">
      <c r="A81" s="22" t="s">
        <v>3792</v>
      </c>
      <c r="B81" s="22"/>
      <c r="C81" s="22"/>
      <c r="D81" s="22"/>
      <c r="E81" s="1245" t="s">
        <v>3706</v>
      </c>
      <c r="F81" s="22"/>
      <c r="G81" s="22"/>
      <c r="H81" s="22"/>
      <c r="I81" s="22"/>
    </row>
    <row r="82" spans="1:9" ht="13.8" x14ac:dyDescent="0.25">
      <c r="A82" s="22"/>
      <c r="B82" s="22"/>
      <c r="C82" s="22"/>
      <c r="D82" s="22"/>
      <c r="E82" s="22"/>
      <c r="F82" s="22"/>
      <c r="G82" s="22"/>
      <c r="H82" s="22"/>
      <c r="I82" s="22"/>
    </row>
    <row r="83" spans="1:9" ht="13.8" x14ac:dyDescent="0.25">
      <c r="A83" s="22" t="s">
        <v>3793</v>
      </c>
      <c r="B83" s="22"/>
      <c r="C83" s="22"/>
      <c r="D83" s="22"/>
      <c r="E83" s="1245" t="s">
        <v>3706</v>
      </c>
      <c r="F83" s="22"/>
      <c r="G83" s="22"/>
      <c r="H83" s="22"/>
      <c r="I83" s="22"/>
    </row>
    <row r="84" spans="1:9" ht="13.8" x14ac:dyDescent="0.25">
      <c r="A84" s="22"/>
      <c r="B84" s="22"/>
      <c r="C84" s="22"/>
      <c r="D84" s="22"/>
      <c r="E84" s="22"/>
      <c r="F84" s="22"/>
      <c r="G84" s="22"/>
      <c r="H84" s="22"/>
      <c r="I84" s="22"/>
    </row>
    <row r="85" spans="1:9" ht="13.8" x14ac:dyDescent="0.25">
      <c r="A85" s="22" t="s">
        <v>3794</v>
      </c>
      <c r="B85" s="22"/>
      <c r="C85" s="22"/>
      <c r="D85" s="22"/>
      <c r="E85" s="1245" t="s">
        <v>3706</v>
      </c>
      <c r="F85" s="22"/>
      <c r="G85" s="22"/>
      <c r="H85" s="22"/>
      <c r="I85" s="22"/>
    </row>
    <row r="86" spans="1:9" ht="13.8" x14ac:dyDescent="0.25">
      <c r="A86" s="22"/>
      <c r="B86" s="22"/>
      <c r="C86" s="22"/>
      <c r="D86" s="22"/>
      <c r="E86" s="22"/>
      <c r="F86" s="22"/>
      <c r="G86" s="22"/>
      <c r="H86" s="22"/>
      <c r="I86" s="22"/>
    </row>
    <row r="87" spans="1:9" ht="13.8" x14ac:dyDescent="0.25">
      <c r="A87" s="22"/>
      <c r="B87" s="22"/>
      <c r="C87" s="22"/>
      <c r="D87" s="22"/>
      <c r="E87" s="22"/>
      <c r="F87" s="22"/>
      <c r="G87" s="22"/>
      <c r="H87" s="22"/>
      <c r="I87" s="22"/>
    </row>
    <row r="88" spans="1:9" ht="17.399999999999999" x14ac:dyDescent="0.3">
      <c r="A88" s="1508" t="s">
        <v>3451</v>
      </c>
      <c r="B88" s="1508"/>
      <c r="C88" s="1508"/>
      <c r="D88" s="1508"/>
      <c r="E88" s="1508"/>
      <c r="F88" s="1508"/>
      <c r="G88" s="1508"/>
      <c r="H88" s="1508"/>
      <c r="I88" s="1508"/>
    </row>
    <row r="89" spans="1:9" ht="13.8" x14ac:dyDescent="0.25">
      <c r="A89" s="22"/>
      <c r="B89" s="22"/>
      <c r="C89" s="22"/>
      <c r="D89" s="22"/>
      <c r="E89" s="22"/>
      <c r="F89" s="22"/>
      <c r="G89" s="22"/>
      <c r="H89" s="22"/>
      <c r="I89" s="22"/>
    </row>
    <row r="90" spans="1:9" ht="30.75" customHeight="1" x14ac:dyDescent="0.25">
      <c r="A90" s="1512" t="s">
        <v>3795</v>
      </c>
      <c r="B90" s="1512"/>
      <c r="C90" s="1512"/>
      <c r="D90" s="1512"/>
      <c r="E90" s="1512"/>
      <c r="F90" s="1512"/>
      <c r="G90" s="1512"/>
      <c r="H90" s="1512"/>
      <c r="I90" s="1512"/>
    </row>
    <row r="91" spans="1:9" ht="13.8" x14ac:dyDescent="0.25">
      <c r="A91" s="22"/>
      <c r="B91" s="22"/>
      <c r="C91" s="22"/>
      <c r="D91" s="22"/>
      <c r="E91" s="22"/>
      <c r="F91" s="22"/>
      <c r="G91" s="22"/>
      <c r="H91" s="22"/>
      <c r="I91" s="22"/>
    </row>
    <row r="92" spans="1:9" ht="13.8" x14ac:dyDescent="0.25">
      <c r="A92" s="22" t="s">
        <v>3800</v>
      </c>
      <c r="B92" s="22"/>
      <c r="C92" s="22"/>
      <c r="D92" s="1250"/>
      <c r="E92" s="1246" t="s">
        <v>2713</v>
      </c>
      <c r="F92" s="1246"/>
      <c r="G92" s="1250" t="s">
        <v>3667</v>
      </c>
      <c r="H92" s="1246" t="s">
        <v>2716</v>
      </c>
      <c r="I92" s="22"/>
    </row>
    <row r="93" spans="1:9" ht="13.8" x14ac:dyDescent="0.25">
      <c r="A93" s="22"/>
      <c r="B93" s="22"/>
      <c r="C93" s="22"/>
      <c r="D93" s="22"/>
      <c r="E93" s="22"/>
      <c r="F93" s="22"/>
      <c r="G93" s="22"/>
      <c r="H93" s="22"/>
      <c r="I93" s="22"/>
    </row>
    <row r="94" spans="1:9" ht="22.5" customHeight="1" x14ac:dyDescent="0.25">
      <c r="A94" s="22" t="s">
        <v>3796</v>
      </c>
      <c r="B94" s="22"/>
      <c r="C94" s="22"/>
      <c r="D94" s="1245"/>
      <c r="E94" s="1245" t="s">
        <v>3706</v>
      </c>
      <c r="F94" s="1245"/>
      <c r="G94" s="1245"/>
      <c r="H94" s="1245"/>
      <c r="I94" s="1245"/>
    </row>
    <row r="95" spans="1:9" ht="13.8" x14ac:dyDescent="0.25">
      <c r="A95" s="22"/>
      <c r="B95" s="22"/>
      <c r="C95" s="22"/>
      <c r="D95" s="22"/>
      <c r="E95" s="22"/>
      <c r="F95" s="22"/>
      <c r="G95" s="22"/>
      <c r="H95" s="22"/>
      <c r="I95" s="22"/>
    </row>
    <row r="96" spans="1:9" ht="13.8" x14ac:dyDescent="0.25">
      <c r="A96" s="22" t="s">
        <v>3799</v>
      </c>
      <c r="B96" s="22"/>
      <c r="C96" s="22"/>
      <c r="D96" s="1250" t="s">
        <v>3667</v>
      </c>
      <c r="E96" s="1506" t="s">
        <v>3797</v>
      </c>
      <c r="F96" s="1506"/>
      <c r="G96" s="1250" t="s">
        <v>3667</v>
      </c>
      <c r="H96" s="1246" t="s">
        <v>2716</v>
      </c>
      <c r="I96" s="22"/>
    </row>
    <row r="97" spans="1:9" ht="13.8" x14ac:dyDescent="0.25">
      <c r="A97" s="22"/>
      <c r="B97" s="22"/>
      <c r="C97" s="22"/>
      <c r="D97" s="22"/>
      <c r="E97" s="22"/>
      <c r="F97" s="22"/>
      <c r="G97" s="22"/>
      <c r="H97" s="22"/>
      <c r="I97" s="22"/>
    </row>
    <row r="98" spans="1:9" ht="27.75" customHeight="1" x14ac:dyDescent="0.25">
      <c r="A98" s="1516" t="s">
        <v>3798</v>
      </c>
      <c r="B98" s="1516"/>
      <c r="C98" s="1516"/>
      <c r="D98" s="1516"/>
      <c r="E98" s="1516"/>
      <c r="F98" s="1516"/>
      <c r="G98" s="1516"/>
      <c r="H98" s="1516"/>
      <c r="I98" s="1516"/>
    </row>
    <row r="99" spans="1:9" ht="13.8" x14ac:dyDescent="0.25">
      <c r="A99" s="22"/>
      <c r="B99" s="22"/>
      <c r="C99" s="22"/>
      <c r="D99" s="22"/>
      <c r="E99" s="22"/>
      <c r="F99" s="22"/>
      <c r="G99" s="22"/>
      <c r="H99" s="22"/>
      <c r="I99" s="22"/>
    </row>
    <row r="100" spans="1:9" ht="13.8" x14ac:dyDescent="0.25">
      <c r="A100" s="22"/>
      <c r="B100" s="22"/>
      <c r="C100" s="22"/>
      <c r="D100" s="1250" t="s">
        <v>3667</v>
      </c>
      <c r="E100" s="1246" t="s">
        <v>2713</v>
      </c>
      <c r="F100" s="1246"/>
      <c r="G100" s="1250" t="s">
        <v>3667</v>
      </c>
      <c r="H100" s="1246" t="s">
        <v>2716</v>
      </c>
      <c r="I100" s="22"/>
    </row>
    <row r="101" spans="1:9" ht="13.8" x14ac:dyDescent="0.25">
      <c r="A101" s="22"/>
      <c r="B101" s="22"/>
      <c r="C101" s="22"/>
      <c r="D101" s="22"/>
      <c r="E101" s="22"/>
      <c r="F101" s="22"/>
      <c r="G101" s="22"/>
      <c r="H101" s="22"/>
      <c r="I101" s="22"/>
    </row>
    <row r="102" spans="1:9" ht="13.8" x14ac:dyDescent="0.25">
      <c r="A102" s="22" t="s">
        <v>3801</v>
      </c>
      <c r="B102" s="22"/>
      <c r="C102" s="22"/>
      <c r="D102" s="22"/>
      <c r="E102" s="22"/>
      <c r="F102" s="22"/>
      <c r="G102" s="22"/>
      <c r="H102" s="22"/>
      <c r="I102" s="22"/>
    </row>
    <row r="103" spans="1:9" ht="9" customHeight="1" x14ac:dyDescent="0.25">
      <c r="A103" s="22"/>
      <c r="B103" s="22"/>
      <c r="C103" s="22"/>
      <c r="D103" s="22"/>
      <c r="E103" s="22"/>
      <c r="F103" s="22"/>
      <c r="G103" s="22"/>
      <c r="H103" s="22"/>
      <c r="I103" s="22"/>
    </row>
    <row r="104" spans="1:9" ht="13.8" x14ac:dyDescent="0.25">
      <c r="A104" s="22" t="s">
        <v>3802</v>
      </c>
      <c r="B104" s="22"/>
      <c r="C104" s="22"/>
      <c r="D104" s="22"/>
      <c r="E104" s="22" t="s">
        <v>3803</v>
      </c>
      <c r="F104" s="22"/>
      <c r="G104" s="22"/>
      <c r="H104" s="1251" t="s">
        <v>3640</v>
      </c>
      <c r="I104" s="22"/>
    </row>
    <row r="105" spans="1:9" ht="13.8" x14ac:dyDescent="0.25">
      <c r="A105" s="22"/>
      <c r="B105" s="22"/>
      <c r="C105" s="22"/>
      <c r="D105" s="22"/>
      <c r="E105" s="22"/>
      <c r="F105" s="22"/>
      <c r="G105" s="22"/>
      <c r="H105" s="22"/>
      <c r="I105" s="22"/>
    </row>
    <row r="106" spans="1:9" ht="13.8" x14ac:dyDescent="0.25">
      <c r="A106" s="22"/>
      <c r="B106" s="22"/>
      <c r="C106" s="22"/>
      <c r="D106" s="22"/>
      <c r="E106" s="22"/>
      <c r="F106" s="22"/>
      <c r="G106" s="22"/>
      <c r="H106" s="22"/>
      <c r="I106" s="22"/>
    </row>
    <row r="107" spans="1:9" ht="15" customHeight="1" x14ac:dyDescent="0.25">
      <c r="A107" s="1245" t="s">
        <v>3697</v>
      </c>
      <c r="B107" s="1245"/>
      <c r="C107" s="1245"/>
      <c r="D107" s="1245"/>
      <c r="E107" s="1245" t="s">
        <v>3698</v>
      </c>
      <c r="F107" s="1245"/>
      <c r="G107" s="1250" t="s">
        <v>3667</v>
      </c>
      <c r="H107" s="1246" t="s">
        <v>3804</v>
      </c>
      <c r="I107" s="1245" t="s">
        <v>2716</v>
      </c>
    </row>
    <row r="108" spans="1:9" ht="6" customHeight="1" x14ac:dyDescent="0.25">
      <c r="A108" s="22"/>
      <c r="B108" s="22"/>
      <c r="C108" s="22"/>
      <c r="D108" s="22"/>
      <c r="E108" s="22"/>
      <c r="F108" s="22"/>
      <c r="G108" s="22"/>
      <c r="H108" s="22"/>
      <c r="I108" s="22"/>
    </row>
    <row r="109" spans="1:9" ht="13.8" x14ac:dyDescent="0.25">
      <c r="A109" s="22"/>
      <c r="B109" s="22"/>
      <c r="C109" s="22"/>
      <c r="D109" s="22"/>
      <c r="E109" s="22"/>
      <c r="F109" s="22"/>
      <c r="G109" s="22"/>
      <c r="H109" s="22"/>
      <c r="I109" s="22"/>
    </row>
    <row r="110" spans="1:9" ht="15" customHeight="1" x14ac:dyDescent="0.25">
      <c r="A110" s="1245" t="s">
        <v>3697</v>
      </c>
      <c r="B110" s="1245"/>
      <c r="C110" s="1245"/>
      <c r="D110" s="1245"/>
      <c r="E110" s="1245" t="s">
        <v>3698</v>
      </c>
      <c r="F110" s="1245"/>
      <c r="G110" s="1250" t="s">
        <v>3667</v>
      </c>
      <c r="H110" s="1246" t="s">
        <v>3804</v>
      </c>
      <c r="I110" s="1245" t="s">
        <v>2716</v>
      </c>
    </row>
    <row r="111" spans="1:9" ht="6" customHeight="1" x14ac:dyDescent="0.25">
      <c r="A111" s="22"/>
      <c r="B111" s="22"/>
      <c r="C111" s="22"/>
      <c r="D111" s="22"/>
      <c r="E111" s="22"/>
      <c r="F111" s="22"/>
      <c r="G111" s="22"/>
      <c r="H111" s="22"/>
      <c r="I111" s="22"/>
    </row>
    <row r="112" spans="1:9" ht="13.8" x14ac:dyDescent="0.25">
      <c r="A112" s="22"/>
      <c r="B112" s="22"/>
      <c r="C112" s="22"/>
      <c r="D112" s="22"/>
      <c r="E112" s="22"/>
      <c r="F112" s="22"/>
      <c r="G112" s="22"/>
      <c r="H112" s="22"/>
      <c r="I112" s="22"/>
    </row>
    <row r="113" spans="1:9" ht="15" customHeight="1" x14ac:dyDescent="0.25">
      <c r="A113" s="1245" t="s">
        <v>3697</v>
      </c>
      <c r="B113" s="1245"/>
      <c r="C113" s="1245"/>
      <c r="D113" s="1245"/>
      <c r="E113" s="1245" t="s">
        <v>3698</v>
      </c>
      <c r="F113" s="1245"/>
      <c r="G113" s="1250" t="s">
        <v>3667</v>
      </c>
      <c r="H113" s="1246" t="s">
        <v>3804</v>
      </c>
      <c r="I113" s="1245" t="s">
        <v>2716</v>
      </c>
    </row>
    <row r="114" spans="1:9" ht="8.4" customHeight="1" x14ac:dyDescent="0.25">
      <c r="A114" s="22"/>
      <c r="B114" s="22"/>
      <c r="C114" s="22"/>
      <c r="D114" s="22"/>
      <c r="E114" s="22"/>
      <c r="F114" s="22"/>
      <c r="G114" s="22"/>
      <c r="H114" s="22"/>
      <c r="I114" s="22"/>
    </row>
    <row r="115" spans="1:9" ht="13.8" x14ac:dyDescent="0.25">
      <c r="A115" s="22"/>
      <c r="B115" s="22"/>
      <c r="C115" s="22"/>
      <c r="D115" s="22"/>
      <c r="E115" s="22"/>
      <c r="F115" s="22"/>
      <c r="G115" s="22"/>
      <c r="H115" s="22"/>
      <c r="I115" s="22"/>
    </row>
    <row r="116" spans="1:9" ht="13.8" x14ac:dyDescent="0.25">
      <c r="A116" s="22" t="s">
        <v>3805</v>
      </c>
      <c r="B116" s="22"/>
      <c r="C116" s="22"/>
      <c r="D116" s="22"/>
      <c r="E116" s="22"/>
      <c r="F116" s="22"/>
      <c r="G116" s="22"/>
      <c r="H116" s="22"/>
      <c r="I116" s="22"/>
    </row>
    <row r="117" spans="1:9" ht="13.8" x14ac:dyDescent="0.25">
      <c r="A117" s="22"/>
      <c r="B117" s="22"/>
      <c r="C117" s="22"/>
      <c r="D117" s="22"/>
      <c r="E117" s="22"/>
      <c r="F117" s="22"/>
      <c r="G117" s="22"/>
      <c r="H117" s="22"/>
      <c r="I117" s="22"/>
    </row>
    <row r="118" spans="1:9" ht="15" customHeight="1" x14ac:dyDescent="0.25">
      <c r="A118" s="22" t="s">
        <v>3461</v>
      </c>
      <c r="B118" s="22"/>
      <c r="C118" s="22"/>
      <c r="D118" s="22"/>
      <c r="E118" s="22"/>
      <c r="F118" s="22"/>
      <c r="G118" s="1250" t="s">
        <v>3667</v>
      </c>
      <c r="H118" s="1246" t="s">
        <v>3804</v>
      </c>
      <c r="I118" s="1245" t="s">
        <v>2716</v>
      </c>
    </row>
    <row r="119" spans="1:9" ht="13.8" x14ac:dyDescent="0.25">
      <c r="A119" s="22"/>
      <c r="B119" s="22"/>
      <c r="C119" s="22"/>
      <c r="D119" s="22"/>
      <c r="E119" s="22"/>
      <c r="F119" s="22"/>
      <c r="G119" s="22"/>
      <c r="H119" s="22"/>
      <c r="I119" s="22"/>
    </row>
    <row r="120" spans="1:9" ht="13.8" x14ac:dyDescent="0.25">
      <c r="A120" s="22"/>
      <c r="B120" s="22"/>
      <c r="C120" s="22"/>
      <c r="D120" s="22"/>
      <c r="E120" s="22"/>
      <c r="F120" s="22"/>
      <c r="G120" s="22"/>
      <c r="H120" s="22"/>
      <c r="I120" s="22"/>
    </row>
    <row r="121" spans="1:9" ht="13.8" x14ac:dyDescent="0.25">
      <c r="A121" s="1245" t="s">
        <v>3701</v>
      </c>
      <c r="B121" s="22"/>
      <c r="C121" s="22"/>
      <c r="D121" s="22"/>
      <c r="E121" s="22"/>
      <c r="F121" s="22"/>
      <c r="G121" s="22"/>
      <c r="H121" s="22"/>
      <c r="I121" s="22"/>
    </row>
    <row r="122" spans="1:9" ht="8.4" customHeight="1" x14ac:dyDescent="0.25">
      <c r="A122" s="22"/>
      <c r="B122" s="22"/>
      <c r="C122" s="22"/>
      <c r="D122" s="22"/>
      <c r="E122" s="22"/>
      <c r="F122" s="22"/>
      <c r="G122" s="22"/>
      <c r="H122" s="22"/>
      <c r="I122" s="22"/>
    </row>
    <row r="123" spans="1:9" ht="13.8" x14ac:dyDescent="0.25">
      <c r="A123" s="22"/>
      <c r="B123" s="22"/>
      <c r="C123" s="22"/>
      <c r="D123" s="22"/>
      <c r="E123" s="22"/>
      <c r="F123" s="22"/>
      <c r="G123" s="22"/>
      <c r="H123" s="22"/>
      <c r="I123" s="22"/>
    </row>
    <row r="124" spans="1:9" ht="15" customHeight="1" x14ac:dyDescent="0.25">
      <c r="A124" s="22" t="s">
        <v>3877</v>
      </c>
      <c r="B124" s="22"/>
      <c r="C124" s="22"/>
      <c r="D124" s="22"/>
      <c r="E124" s="22"/>
      <c r="F124" s="22"/>
      <c r="G124" s="1250" t="s">
        <v>3667</v>
      </c>
      <c r="H124" s="1246" t="s">
        <v>3804</v>
      </c>
      <c r="I124" s="1245" t="s">
        <v>2716</v>
      </c>
    </row>
    <row r="125" spans="1:9" ht="13.8" x14ac:dyDescent="0.25">
      <c r="A125" s="22" t="s">
        <v>3878</v>
      </c>
      <c r="B125" s="22"/>
      <c r="C125" s="22"/>
      <c r="D125" s="22"/>
      <c r="E125" s="22"/>
      <c r="F125" s="22"/>
      <c r="G125" s="22"/>
      <c r="H125" s="22"/>
      <c r="I125" s="22"/>
    </row>
    <row r="126" spans="1:9" ht="13.8" x14ac:dyDescent="0.25">
      <c r="A126" s="22"/>
      <c r="B126" s="22"/>
      <c r="C126" s="22"/>
      <c r="D126" s="22"/>
      <c r="E126" s="22"/>
      <c r="F126" s="22"/>
      <c r="G126" s="22"/>
      <c r="H126" s="22"/>
      <c r="I126" s="22"/>
    </row>
    <row r="127" spans="1:9" ht="13.8" x14ac:dyDescent="0.25">
      <c r="A127" s="22" t="s">
        <v>3879</v>
      </c>
      <c r="B127" s="22"/>
      <c r="C127" s="22"/>
      <c r="D127" s="22"/>
      <c r="E127" s="22"/>
      <c r="F127" s="22"/>
      <c r="G127" s="22"/>
      <c r="H127" s="22"/>
      <c r="I127" s="22"/>
    </row>
    <row r="128" spans="1:9" ht="13.8" x14ac:dyDescent="0.25">
      <c r="A128" s="22"/>
      <c r="B128" s="22"/>
      <c r="C128" s="22"/>
      <c r="D128" s="22"/>
      <c r="E128" s="22"/>
      <c r="F128" s="22"/>
      <c r="G128" s="22"/>
      <c r="H128" s="22"/>
      <c r="I128" s="22"/>
    </row>
    <row r="129" spans="1:9" ht="13.8" x14ac:dyDescent="0.25">
      <c r="A129" s="1245" t="s">
        <v>3701</v>
      </c>
      <c r="B129" s="22"/>
      <c r="C129" s="22"/>
      <c r="D129" s="22"/>
      <c r="E129" s="22"/>
      <c r="F129" s="22"/>
      <c r="G129" s="22"/>
      <c r="H129" s="22"/>
      <c r="I129" s="22"/>
    </row>
    <row r="130" spans="1:9" ht="13.8" x14ac:dyDescent="0.25">
      <c r="A130" s="22"/>
      <c r="B130" s="22"/>
      <c r="C130" s="22"/>
      <c r="D130" s="22"/>
      <c r="E130" s="22"/>
      <c r="F130" s="22"/>
      <c r="G130" s="22"/>
      <c r="H130" s="22"/>
      <c r="I130" s="22"/>
    </row>
    <row r="131" spans="1:9" ht="13.8" x14ac:dyDescent="0.25">
      <c r="A131" s="22"/>
      <c r="B131" s="22"/>
      <c r="C131" s="22"/>
      <c r="D131" s="22"/>
      <c r="E131" s="22"/>
      <c r="F131" s="22"/>
      <c r="G131" s="22"/>
      <c r="H131" s="22"/>
      <c r="I131" s="22"/>
    </row>
    <row r="132" spans="1:9" ht="13.8" x14ac:dyDescent="0.25">
      <c r="A132" s="22" t="s">
        <v>3806</v>
      </c>
      <c r="B132" s="22"/>
      <c r="C132" s="22"/>
      <c r="D132" s="22"/>
      <c r="E132" s="22"/>
      <c r="F132" s="22"/>
      <c r="G132" s="22"/>
      <c r="H132" s="22"/>
      <c r="I132" s="22"/>
    </row>
    <row r="133" spans="1:9" ht="13.8" x14ac:dyDescent="0.25">
      <c r="A133" s="22"/>
      <c r="B133" s="22"/>
      <c r="C133" s="22"/>
      <c r="D133" s="22"/>
      <c r="E133" s="22"/>
      <c r="F133" s="22"/>
      <c r="G133" s="22"/>
      <c r="H133" s="22"/>
      <c r="I133" s="22"/>
    </row>
    <row r="134" spans="1:9" ht="13.8" x14ac:dyDescent="0.25">
      <c r="A134" s="22" t="s">
        <v>3477</v>
      </c>
      <c r="B134" s="22"/>
      <c r="C134" s="22"/>
      <c r="D134" s="22"/>
      <c r="E134" s="22" t="s">
        <v>3478</v>
      </c>
      <c r="F134" s="22"/>
      <c r="G134" s="22"/>
      <c r="H134" s="22"/>
      <c r="I134" s="22"/>
    </row>
    <row r="135" spans="1:9" ht="13.8" x14ac:dyDescent="0.25">
      <c r="A135" s="22"/>
      <c r="B135" s="22"/>
      <c r="C135" s="22"/>
      <c r="D135" s="22"/>
      <c r="E135" s="22"/>
      <c r="F135" s="22"/>
      <c r="G135" s="22"/>
      <c r="H135" s="22"/>
      <c r="I135" s="22"/>
    </row>
    <row r="136" spans="1:9" ht="7.2" customHeight="1" x14ac:dyDescent="0.25">
      <c r="A136" s="22"/>
      <c r="B136" s="22"/>
      <c r="C136" s="22"/>
      <c r="D136" s="22"/>
      <c r="E136" s="22"/>
      <c r="F136" s="22"/>
      <c r="G136" s="22"/>
      <c r="H136" s="22"/>
      <c r="I136" s="22"/>
    </row>
    <row r="137" spans="1:9" ht="13.8" x14ac:dyDescent="0.25">
      <c r="A137" s="1245" t="s">
        <v>3697</v>
      </c>
      <c r="B137" s="22"/>
      <c r="C137" s="22"/>
      <c r="D137" s="22"/>
      <c r="E137" s="1245" t="s">
        <v>3697</v>
      </c>
      <c r="F137" s="22"/>
      <c r="G137" s="22"/>
      <c r="H137" s="22"/>
      <c r="I137" s="22"/>
    </row>
    <row r="138" spans="1:9" ht="13.8" x14ac:dyDescent="0.25">
      <c r="A138" s="22"/>
      <c r="B138" s="22"/>
      <c r="C138" s="22"/>
      <c r="D138" s="22"/>
      <c r="E138" s="22"/>
      <c r="F138" s="22"/>
      <c r="G138" s="22"/>
      <c r="H138" s="22"/>
      <c r="I138" s="22"/>
    </row>
  </sheetData>
  <sheetProtection algorithmName="SHA-512" hashValue="ySM9U64k6/XCfZjOLhF2tybq41yafwo/zSqSIA/54bp7rFgaDgLeM9uZDToN4yf7DtaMV5uYnBLptyWMp5836A==" saltValue="i9P+IAI0SSjO2pqbsM2uZg==" spinCount="100000" sheet="1" objects="1" scenarios="1"/>
  <mergeCells count="29">
    <mergeCell ref="A23:I23"/>
    <mergeCell ref="D4:E4"/>
    <mergeCell ref="A6:I6"/>
    <mergeCell ref="A7:H7"/>
    <mergeCell ref="A11:B11"/>
    <mergeCell ref="E11:F11"/>
    <mergeCell ref="A12:B12"/>
    <mergeCell ref="E12:F12"/>
    <mergeCell ref="A15:I15"/>
    <mergeCell ref="A16:H16"/>
    <mergeCell ref="A17:B17"/>
    <mergeCell ref="H17:I17"/>
    <mergeCell ref="H20:I20"/>
    <mergeCell ref="A25:B25"/>
    <mergeCell ref="A39:I39"/>
    <mergeCell ref="A41:I41"/>
    <mergeCell ref="A47:I47"/>
    <mergeCell ref="E49:F49"/>
    <mergeCell ref="H49:I49"/>
    <mergeCell ref="A88:I88"/>
    <mergeCell ref="A90:I90"/>
    <mergeCell ref="E96:F96"/>
    <mergeCell ref="A98:I98"/>
    <mergeCell ref="G53:I53"/>
    <mergeCell ref="B53:C53"/>
    <mergeCell ref="A69:I69"/>
    <mergeCell ref="A71:I71"/>
    <mergeCell ref="E73:F73"/>
    <mergeCell ref="H73:I73"/>
  </mergeCells>
  <pageMargins left="0.59055118110236227" right="0.59055118110236227" top="0.78740157480314965" bottom="0.59055118110236227" header="0.31496062992125984" footer="0.31496062992125984"/>
  <pageSetup paperSize="9" scale="81"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BG4470"/>
  <sheetViews>
    <sheetView showGridLines="0" zoomScale="150" zoomScaleNormal="150" workbookViewId="0"/>
  </sheetViews>
  <sheetFormatPr baseColWidth="10" defaultColWidth="11.44140625" defaultRowHeight="13.2" x14ac:dyDescent="0.25"/>
  <cols>
    <col min="1" max="2" width="10.44140625" style="833" customWidth="1"/>
    <col min="3" max="3" width="19" style="909" customWidth="1"/>
    <col min="4" max="4" width="17" style="752" customWidth="1"/>
    <col min="5" max="5" width="13.109375" style="752" customWidth="1"/>
    <col min="6" max="6" width="16.44140625" style="752" customWidth="1"/>
    <col min="7" max="7" width="10.88671875" style="833" customWidth="1"/>
    <col min="8" max="8" width="5.88671875" style="870" customWidth="1"/>
    <col min="9" max="10" width="8.5546875" style="834" customWidth="1"/>
    <col min="11" max="12" width="11.109375" style="834" customWidth="1"/>
    <col min="13" max="13" width="6.44140625" style="870" customWidth="1"/>
    <col min="14" max="14" width="8.44140625" style="752" customWidth="1"/>
    <col min="15" max="15" width="5" style="870" customWidth="1"/>
    <col min="16" max="16" width="3.44140625" style="870" customWidth="1"/>
    <col min="17" max="18" width="5.44140625" style="870" customWidth="1"/>
    <col min="19" max="19" width="9.44140625" style="870" customWidth="1"/>
    <col min="20" max="20" width="4" style="870" customWidth="1"/>
    <col min="21" max="21" width="6.5546875" style="752" customWidth="1"/>
    <col min="22" max="22" width="8.44140625" style="752" customWidth="1"/>
    <col min="23" max="23" width="6" style="870" customWidth="1"/>
    <col min="24" max="24" width="2.88671875" style="870" customWidth="1"/>
    <col min="25" max="25" width="4.5546875" style="870" customWidth="1"/>
    <col min="26" max="26" width="4.44140625" style="870" customWidth="1"/>
    <col min="27" max="27" width="6" style="870" customWidth="1"/>
    <col min="28" max="29" width="13.5546875" style="752" customWidth="1"/>
    <col min="30" max="16384" width="11.44140625" style="752"/>
  </cols>
  <sheetData>
    <row r="1" spans="1:59" ht="17.399999999999999" x14ac:dyDescent="0.3">
      <c r="A1" s="855" t="s">
        <v>1285</v>
      </c>
      <c r="D1" s="934"/>
      <c r="E1" s="935"/>
      <c r="F1" s="935"/>
    </row>
    <row r="3" spans="1:59" x14ac:dyDescent="0.25">
      <c r="A3" s="833" t="s">
        <v>1650</v>
      </c>
    </row>
    <row r="5" spans="1:59" x14ac:dyDescent="0.25">
      <c r="A5" s="856" t="s">
        <v>1985</v>
      </c>
    </row>
    <row r="6" spans="1:59" x14ac:dyDescent="0.25">
      <c r="A6" s="856" t="s">
        <v>1986</v>
      </c>
    </row>
    <row r="7" spans="1:59" x14ac:dyDescent="0.25">
      <c r="A7" s="856" t="s">
        <v>1987</v>
      </c>
    </row>
    <row r="8" spans="1:59" x14ac:dyDescent="0.25">
      <c r="A8" s="856" t="s">
        <v>1558</v>
      </c>
    </row>
    <row r="9" spans="1:59" x14ac:dyDescent="0.25">
      <c r="A9" s="857"/>
    </row>
    <row r="10" spans="1:59" x14ac:dyDescent="0.25">
      <c r="A10" s="833" t="s">
        <v>117</v>
      </c>
    </row>
    <row r="11" spans="1:59" x14ac:dyDescent="0.25">
      <c r="A11" s="858" t="s">
        <v>664</v>
      </c>
    </row>
    <row r="13" spans="1:59" s="748" customFormat="1" x14ac:dyDescent="0.25">
      <c r="A13" s="859"/>
      <c r="B13" s="860"/>
      <c r="C13" s="1517" t="s">
        <v>1639</v>
      </c>
      <c r="D13" s="1517"/>
      <c r="E13" s="1517"/>
      <c r="F13" s="1517"/>
      <c r="G13" s="1517"/>
      <c r="H13" s="1517"/>
      <c r="I13" s="1517"/>
      <c r="J13" s="1517"/>
      <c r="K13" s="1517"/>
      <c r="L13" s="1517"/>
      <c r="M13" s="1517"/>
      <c r="N13" s="1518"/>
      <c r="O13" s="1519" t="s">
        <v>1640</v>
      </c>
      <c r="P13" s="1520"/>
      <c r="Q13" s="1520"/>
      <c r="R13" s="1520"/>
      <c r="S13" s="1520"/>
      <c r="T13" s="1520"/>
      <c r="U13" s="1520"/>
      <c r="V13" s="1520"/>
      <c r="W13" s="1520"/>
      <c r="X13" s="1520"/>
      <c r="Y13" s="1520"/>
      <c r="Z13" s="1520"/>
      <c r="AA13" s="1520"/>
      <c r="AB13" s="1521" t="s">
        <v>1641</v>
      </c>
      <c r="AC13" s="1522"/>
      <c r="AD13" s="926"/>
      <c r="AE13" s="926"/>
      <c r="AF13" s="926"/>
      <c r="AG13" s="926"/>
      <c r="AH13" s="752"/>
      <c r="AI13" s="752"/>
      <c r="AJ13" s="752"/>
      <c r="AK13" s="752"/>
      <c r="AL13" s="752"/>
      <c r="AM13" s="752"/>
      <c r="AN13" s="752"/>
      <c r="AO13" s="752"/>
      <c r="AP13" s="752"/>
      <c r="AQ13" s="752"/>
      <c r="AR13" s="752"/>
      <c r="AS13" s="752"/>
      <c r="AT13" s="752"/>
      <c r="AU13" s="752"/>
      <c r="AV13" s="752"/>
      <c r="AW13" s="752"/>
      <c r="AX13" s="752"/>
      <c r="AY13" s="752"/>
      <c r="AZ13" s="752"/>
      <c r="BA13" s="752"/>
      <c r="BB13" s="752"/>
      <c r="BC13" s="752"/>
      <c r="BD13" s="752"/>
      <c r="BE13" s="752"/>
      <c r="BF13" s="752"/>
      <c r="BG13" s="752"/>
    </row>
    <row r="14" spans="1:59" s="853" customFormat="1" ht="86.25" customHeight="1" x14ac:dyDescent="0.25">
      <c r="A14" s="861" t="s">
        <v>1616</v>
      </c>
      <c r="B14" s="861" t="s">
        <v>1369</v>
      </c>
      <c r="C14" s="910" t="s">
        <v>253</v>
      </c>
      <c r="D14" s="843" t="s">
        <v>991</v>
      </c>
      <c r="E14" s="843" t="s">
        <v>1220</v>
      </c>
      <c r="F14" s="843" t="s">
        <v>992</v>
      </c>
      <c r="G14" s="861" t="s">
        <v>1651</v>
      </c>
      <c r="H14" s="843" t="s">
        <v>964</v>
      </c>
      <c r="I14" s="866" t="s">
        <v>1286</v>
      </c>
      <c r="J14" s="867" t="s">
        <v>1634</v>
      </c>
      <c r="K14" s="867" t="s">
        <v>1635</v>
      </c>
      <c r="L14" s="867" t="s">
        <v>1652</v>
      </c>
      <c r="M14" s="844" t="s">
        <v>1675</v>
      </c>
      <c r="N14" s="845" t="s">
        <v>1376</v>
      </c>
      <c r="O14" s="846" t="s">
        <v>1793</v>
      </c>
      <c r="P14" s="847" t="s">
        <v>1636</v>
      </c>
      <c r="Q14" s="854" t="s">
        <v>1637</v>
      </c>
      <c r="R14" s="848" t="s">
        <v>1133</v>
      </c>
      <c r="S14" s="849" t="s">
        <v>1501</v>
      </c>
      <c r="T14" s="847" t="s">
        <v>1031</v>
      </c>
      <c r="U14" s="847" t="s">
        <v>1653</v>
      </c>
      <c r="V14" s="847" t="s">
        <v>979</v>
      </c>
      <c r="W14" s="854" t="s">
        <v>1638</v>
      </c>
      <c r="X14" s="847" t="s">
        <v>1654</v>
      </c>
      <c r="Y14" s="848" t="s">
        <v>1655</v>
      </c>
      <c r="Z14" s="849" t="s">
        <v>1656</v>
      </c>
      <c r="AA14" s="850" t="s">
        <v>1794</v>
      </c>
      <c r="AB14" s="851" t="s">
        <v>1075</v>
      </c>
      <c r="AC14" s="852" t="s">
        <v>1075</v>
      </c>
      <c r="AD14" s="927"/>
      <c r="AE14" s="927"/>
      <c r="AF14" s="927"/>
      <c r="AG14" s="927"/>
      <c r="AH14" s="927"/>
      <c r="AI14" s="927"/>
      <c r="AJ14" s="927"/>
      <c r="AK14" s="927"/>
      <c r="AL14" s="927"/>
      <c r="AM14" s="927"/>
      <c r="AN14" s="927"/>
      <c r="AO14" s="927"/>
      <c r="AP14" s="927"/>
      <c r="AQ14" s="927"/>
      <c r="AR14" s="927"/>
      <c r="AS14" s="927"/>
      <c r="AT14" s="927"/>
      <c r="AU14" s="927"/>
      <c r="AV14" s="927"/>
      <c r="AW14" s="927"/>
      <c r="AX14" s="927"/>
      <c r="AY14" s="927"/>
      <c r="AZ14" s="927"/>
      <c r="BA14" s="927"/>
      <c r="BB14" s="927"/>
      <c r="BC14" s="927"/>
      <c r="BD14" s="927"/>
      <c r="BE14" s="927"/>
      <c r="BF14" s="927"/>
      <c r="BG14" s="927"/>
    </row>
    <row r="15" spans="1:59" s="830" customFormat="1" ht="17.25" customHeight="1" x14ac:dyDescent="0.25">
      <c r="A15" s="825">
        <f ca="1">Input!J88</f>
        <v>45063</v>
      </c>
      <c r="B15" s="825">
        <f>Input!E15</f>
        <v>45292</v>
      </c>
      <c r="C15" s="826" t="str">
        <f>IF(Input!E6="","",Input!E6)</f>
        <v/>
      </c>
      <c r="D15" s="826">
        <f>Input!E8</f>
        <v>0</v>
      </c>
      <c r="E15" s="826">
        <f>Input!E9</f>
        <v>0</v>
      </c>
      <c r="F15" s="826" t="str">
        <f>IF(Input!E10="","",Input!E10)</f>
        <v/>
      </c>
      <c r="G15" s="825">
        <f>Input!E11</f>
        <v>31048</v>
      </c>
      <c r="H15" s="871" t="str">
        <f>IF(Input!K3=1,"Mann","Frau")</f>
        <v>Frau</v>
      </c>
      <c r="I15" s="827">
        <f>Input!E19</f>
        <v>100000</v>
      </c>
      <c r="J15" s="827">
        <f>Input!E24</f>
        <v>100000</v>
      </c>
      <c r="K15" s="827">
        <f>Input!E51</f>
        <v>0</v>
      </c>
      <c r="L15" s="827">
        <f>Input!E52</f>
        <v>0</v>
      </c>
      <c r="M15" s="875" t="str">
        <f>IF(Input!K77=1,"ja","nein")</f>
        <v>ja</v>
      </c>
      <c r="N15" s="828" t="str">
        <f>'Ausweis-Certificat'!D9</f>
        <v>SE&lt;50</v>
      </c>
      <c r="O15" s="877">
        <f>'Vertrag SE'!C146</f>
        <v>423</v>
      </c>
      <c r="P15" s="878" t="str">
        <f>Wertebereich!U15</f>
        <v>L4</v>
      </c>
      <c r="Q15" s="878" t="str">
        <f>Wertebereich!U16</f>
        <v>keine</v>
      </c>
      <c r="R15" s="879" t="str">
        <f>Wertebereich!U17</f>
        <v>keine</v>
      </c>
      <c r="S15" s="880" t="str">
        <f>'Vertrag SE'!C145</f>
        <v>22011001</v>
      </c>
      <c r="T15" s="880" t="str">
        <f>Wertebereich!T24</f>
        <v>720</v>
      </c>
      <c r="U15" s="829" t="str">
        <f>VLOOKUP(Input!K37,Input!L34:V47,11)</f>
        <v>R2_50</v>
      </c>
      <c r="V15" s="829" t="e">
        <f>VLOOKUP(Input!K53,Input!L50:V55,11)</f>
        <v>#N/A</v>
      </c>
      <c r="W15" s="880" t="str">
        <f>MID(Wertebereich!T27,4,10)</f>
        <v>Plan</v>
      </c>
      <c r="X15" s="880" t="str">
        <f>Wertebereich!T28</f>
        <v>A1</v>
      </c>
      <c r="Y15" s="882" t="str">
        <f>Wertebereich!T30</f>
        <v>ZS0</v>
      </c>
      <c r="Z15" s="880">
        <f>'Vertrag SE'!C147</f>
        <v>25</v>
      </c>
      <c r="AA15" s="882" t="str">
        <f>'Vertrag SE'!C150</f>
        <v>102_</v>
      </c>
      <c r="AB15" s="829"/>
      <c r="AC15" s="826"/>
      <c r="AD15" s="526"/>
      <c r="AE15" s="526"/>
      <c r="AF15" s="526"/>
      <c r="AG15" s="526"/>
      <c r="AH15" s="526"/>
      <c r="AI15" s="526"/>
      <c r="AJ15" s="526"/>
      <c r="AK15" s="526"/>
      <c r="AL15" s="526"/>
      <c r="AM15" s="526"/>
      <c r="AN15" s="526"/>
      <c r="AO15" s="526"/>
      <c r="AP15" s="526"/>
      <c r="AQ15" s="526"/>
      <c r="AR15" s="526"/>
      <c r="AS15" s="526"/>
      <c r="AT15" s="526"/>
      <c r="AU15" s="526"/>
      <c r="AV15" s="526"/>
      <c r="AW15" s="526"/>
      <c r="AX15" s="526"/>
      <c r="AY15" s="526"/>
      <c r="AZ15" s="526"/>
      <c r="BA15" s="526"/>
      <c r="BB15" s="526"/>
      <c r="BC15" s="526"/>
      <c r="BD15" s="526"/>
      <c r="BE15" s="526"/>
      <c r="BF15" s="526"/>
      <c r="BG15" s="526"/>
    </row>
    <row r="18" spans="1:59" x14ac:dyDescent="0.25">
      <c r="A18" s="862" t="str">
        <f ca="1">Input!H90</f>
        <v>17.5.23 / Tool 2024 (V 30.04.2023)</v>
      </c>
    </row>
    <row r="20" spans="1:59" x14ac:dyDescent="0.25">
      <c r="A20" s="832"/>
    </row>
    <row r="21" spans="1:59" ht="21" customHeight="1" x14ac:dyDescent="0.25">
      <c r="A21" s="863" t="s">
        <v>256</v>
      </c>
      <c r="B21" s="864"/>
      <c r="C21" s="911"/>
      <c r="D21" s="831"/>
      <c r="E21" s="831"/>
      <c r="F21" s="831"/>
      <c r="G21" s="864"/>
      <c r="H21" s="872"/>
      <c r="I21" s="868"/>
      <c r="J21" s="868"/>
      <c r="K21" s="868"/>
      <c r="L21" s="868"/>
      <c r="M21" s="872"/>
      <c r="N21" s="831"/>
      <c r="O21" s="872"/>
      <c r="P21" s="872"/>
      <c r="Q21" s="872"/>
      <c r="R21" s="872"/>
      <c r="S21" s="872"/>
      <c r="T21" s="872"/>
      <c r="U21" s="831"/>
      <c r="V21" s="831"/>
      <c r="W21" s="872"/>
      <c r="X21" s="872"/>
      <c r="Y21" s="872"/>
      <c r="Z21" s="872"/>
      <c r="AA21" s="872"/>
      <c r="AB21" s="831"/>
      <c r="AC21" s="831"/>
    </row>
    <row r="22" spans="1:59" x14ac:dyDescent="0.25">
      <c r="A22" s="832"/>
      <c r="H22" s="873"/>
      <c r="M22" s="876"/>
      <c r="O22" s="881"/>
      <c r="P22" s="881"/>
      <c r="Q22" s="881"/>
      <c r="R22" s="881"/>
    </row>
    <row r="23" spans="1:59" s="748" customFormat="1" x14ac:dyDescent="0.25">
      <c r="A23" s="859"/>
      <c r="B23" s="860"/>
      <c r="C23" s="1517" t="s">
        <v>1639</v>
      </c>
      <c r="D23" s="1517"/>
      <c r="E23" s="1517"/>
      <c r="F23" s="1517"/>
      <c r="G23" s="1517"/>
      <c r="H23" s="1517"/>
      <c r="I23" s="1517"/>
      <c r="J23" s="1517"/>
      <c r="K23" s="1517"/>
      <c r="L23" s="1517"/>
      <c r="M23" s="1517"/>
      <c r="N23" s="1518"/>
      <c r="O23" s="1519" t="s">
        <v>1640</v>
      </c>
      <c r="P23" s="1520"/>
      <c r="Q23" s="1520"/>
      <c r="R23" s="1520"/>
      <c r="S23" s="1520"/>
      <c r="T23" s="1520"/>
      <c r="U23" s="1520"/>
      <c r="V23" s="1520"/>
      <c r="W23" s="1520"/>
      <c r="X23" s="1520"/>
      <c r="Y23" s="1520"/>
      <c r="Z23" s="1520"/>
      <c r="AA23" s="1520"/>
      <c r="AB23" s="1521" t="s">
        <v>1641</v>
      </c>
      <c r="AC23" s="1522"/>
      <c r="AD23" s="926"/>
      <c r="AE23" s="926"/>
      <c r="AF23" s="926"/>
      <c r="AG23" s="926"/>
      <c r="AH23" s="752"/>
      <c r="AI23" s="752"/>
      <c r="AJ23" s="752"/>
      <c r="AK23" s="752"/>
      <c r="AL23" s="752"/>
      <c r="AM23" s="752"/>
      <c r="AN23" s="752"/>
      <c r="AO23" s="752"/>
      <c r="AP23" s="752"/>
      <c r="AQ23" s="752"/>
      <c r="AR23" s="752"/>
      <c r="AS23" s="752"/>
      <c r="AT23" s="752"/>
      <c r="AU23" s="752"/>
      <c r="AV23" s="752"/>
      <c r="AW23" s="752"/>
      <c r="AX23" s="752"/>
      <c r="AY23" s="752"/>
      <c r="AZ23" s="752"/>
      <c r="BA23" s="752"/>
      <c r="BB23" s="752"/>
      <c r="BC23" s="752"/>
      <c r="BD23" s="752"/>
      <c r="BE23" s="752"/>
      <c r="BF23" s="752"/>
      <c r="BG23" s="752"/>
    </row>
    <row r="24" spans="1:59" s="853" customFormat="1" ht="86.25" customHeight="1" x14ac:dyDescent="0.25">
      <c r="A24" s="861" t="s">
        <v>1616</v>
      </c>
      <c r="B24" s="861" t="s">
        <v>1369</v>
      </c>
      <c r="C24" s="910" t="s">
        <v>253</v>
      </c>
      <c r="D24" s="843" t="s">
        <v>991</v>
      </c>
      <c r="E24" s="843" t="s">
        <v>1220</v>
      </c>
      <c r="F24" s="843" t="s">
        <v>992</v>
      </c>
      <c r="G24" s="861" t="s">
        <v>1651</v>
      </c>
      <c r="H24" s="843" t="s">
        <v>964</v>
      </c>
      <c r="I24" s="866" t="s">
        <v>1286</v>
      </c>
      <c r="J24" s="867" t="s">
        <v>1634</v>
      </c>
      <c r="K24" s="867" t="s">
        <v>1635</v>
      </c>
      <c r="L24" s="867" t="s">
        <v>1652</v>
      </c>
      <c r="M24" s="844" t="s">
        <v>1675</v>
      </c>
      <c r="N24" s="845" t="s">
        <v>1376</v>
      </c>
      <c r="O24" s="846" t="s">
        <v>1793</v>
      </c>
      <c r="P24" s="847" t="s">
        <v>1636</v>
      </c>
      <c r="Q24" s="854" t="s">
        <v>1637</v>
      </c>
      <c r="R24" s="848" t="s">
        <v>1133</v>
      </c>
      <c r="S24" s="849" t="s">
        <v>1501</v>
      </c>
      <c r="T24" s="847" t="s">
        <v>1031</v>
      </c>
      <c r="U24" s="847" t="s">
        <v>1653</v>
      </c>
      <c r="V24" s="847" t="s">
        <v>979</v>
      </c>
      <c r="W24" s="854" t="s">
        <v>1638</v>
      </c>
      <c r="X24" s="847" t="s">
        <v>1654</v>
      </c>
      <c r="Y24" s="848" t="s">
        <v>1655</v>
      </c>
      <c r="Z24" s="849" t="s">
        <v>1656</v>
      </c>
      <c r="AA24" s="850" t="s">
        <v>1794</v>
      </c>
      <c r="AB24" s="851" t="s">
        <v>1075</v>
      </c>
      <c r="AC24" s="852" t="s">
        <v>1075</v>
      </c>
      <c r="AD24" s="927"/>
      <c r="AE24" s="927"/>
      <c r="AF24" s="927"/>
      <c r="AG24" s="927"/>
      <c r="AH24" s="927"/>
      <c r="AI24" s="927"/>
      <c r="AJ24" s="927"/>
      <c r="AK24" s="927"/>
      <c r="AL24" s="927"/>
      <c r="AM24" s="927"/>
      <c r="AN24" s="927"/>
      <c r="AO24" s="927"/>
      <c r="AP24" s="927"/>
      <c r="AQ24" s="927"/>
      <c r="AR24" s="927"/>
      <c r="AS24" s="927"/>
      <c r="AT24" s="927"/>
      <c r="AU24" s="927"/>
      <c r="AV24" s="927"/>
      <c r="AW24" s="927"/>
      <c r="AX24" s="927"/>
      <c r="AY24" s="927"/>
      <c r="AZ24" s="927"/>
      <c r="BA24" s="927"/>
      <c r="BB24" s="927"/>
      <c r="BC24" s="927"/>
      <c r="BD24" s="927"/>
      <c r="BE24" s="927"/>
      <c r="BF24" s="927"/>
      <c r="BG24" s="927"/>
    </row>
    <row r="25" spans="1:59" s="891" customFormat="1" ht="17.25" customHeight="1" x14ac:dyDescent="0.25">
      <c r="A25" s="890"/>
      <c r="B25" s="890"/>
      <c r="C25" s="907"/>
      <c r="G25" s="890"/>
      <c r="H25" s="892"/>
      <c r="I25" s="893"/>
      <c r="J25" s="893"/>
      <c r="K25" s="893"/>
      <c r="L25" s="893"/>
      <c r="M25" s="892"/>
      <c r="O25" s="892"/>
      <c r="P25" s="892"/>
      <c r="Q25" s="892"/>
      <c r="R25" s="892"/>
      <c r="S25" s="892"/>
      <c r="T25" s="892"/>
      <c r="W25" s="892"/>
      <c r="X25" s="892"/>
      <c r="Y25" s="892"/>
      <c r="Z25" s="892"/>
      <c r="AA25" s="892"/>
      <c r="AB25" s="892"/>
      <c r="AD25" s="928"/>
      <c r="AE25" s="928"/>
      <c r="AF25" s="928"/>
      <c r="AG25" s="928"/>
      <c r="AH25" s="928"/>
      <c r="AI25" s="928"/>
      <c r="AJ25" s="928"/>
      <c r="AK25" s="928"/>
      <c r="AL25" s="928"/>
      <c r="AM25" s="928"/>
      <c r="AN25" s="928"/>
      <c r="AO25" s="928"/>
      <c r="AP25" s="928"/>
      <c r="AQ25" s="928"/>
      <c r="AR25" s="928"/>
      <c r="AS25" s="928"/>
      <c r="AT25" s="928"/>
      <c r="AU25" s="928"/>
      <c r="AV25" s="928"/>
      <c r="AW25" s="928"/>
      <c r="AX25" s="928"/>
      <c r="AY25" s="928"/>
      <c r="AZ25" s="928"/>
      <c r="BA25" s="928"/>
      <c r="BB25" s="928"/>
      <c r="BC25" s="928"/>
      <c r="BD25" s="928"/>
      <c r="BE25" s="928"/>
      <c r="BF25" s="928"/>
      <c r="BG25" s="928"/>
    </row>
    <row r="26" spans="1:59" s="830" customFormat="1" ht="17.25" customHeight="1" x14ac:dyDescent="0.25">
      <c r="A26" s="865"/>
      <c r="B26" s="865"/>
      <c r="C26" s="908"/>
      <c r="G26" s="865"/>
      <c r="H26" s="874"/>
      <c r="I26" s="869"/>
      <c r="J26" s="869"/>
      <c r="K26" s="869"/>
      <c r="L26" s="869"/>
      <c r="M26" s="874"/>
      <c r="O26" s="874"/>
      <c r="P26" s="874"/>
      <c r="Q26" s="874"/>
      <c r="R26" s="874"/>
      <c r="S26" s="874"/>
      <c r="T26" s="874"/>
      <c r="W26" s="874"/>
      <c r="X26" s="874"/>
      <c r="Y26" s="874"/>
      <c r="Z26" s="874"/>
      <c r="AA26" s="874"/>
      <c r="AD26" s="526"/>
      <c r="AE26" s="526"/>
      <c r="AF26" s="526"/>
      <c r="AG26" s="526"/>
      <c r="AH26" s="526"/>
      <c r="AI26" s="526"/>
      <c r="AJ26" s="526"/>
      <c r="AK26" s="526"/>
      <c r="AL26" s="526"/>
      <c r="AM26" s="526"/>
      <c r="AN26" s="526"/>
      <c r="AO26" s="526"/>
      <c r="AP26" s="526"/>
      <c r="AQ26" s="526"/>
      <c r="AR26" s="526"/>
      <c r="AS26" s="526"/>
      <c r="AT26" s="526"/>
      <c r="AU26" s="526"/>
      <c r="AV26" s="526"/>
      <c r="AW26" s="526"/>
      <c r="AX26" s="526"/>
      <c r="AY26" s="526"/>
      <c r="AZ26" s="526"/>
      <c r="BA26" s="526"/>
      <c r="BB26" s="526"/>
      <c r="BC26" s="526"/>
      <c r="BD26" s="526"/>
      <c r="BE26" s="526"/>
      <c r="BF26" s="526"/>
      <c r="BG26" s="526"/>
    </row>
    <row r="27" spans="1:59" s="830" customFormat="1" ht="17.25" customHeight="1" x14ac:dyDescent="0.25">
      <c r="A27" s="865"/>
      <c r="B27" s="865"/>
      <c r="C27" s="908"/>
      <c r="G27" s="865"/>
      <c r="H27" s="874"/>
      <c r="I27" s="869"/>
      <c r="J27" s="869"/>
      <c r="K27" s="869"/>
      <c r="L27" s="869"/>
      <c r="M27" s="874"/>
      <c r="O27" s="874"/>
      <c r="P27" s="874"/>
      <c r="Q27" s="874"/>
      <c r="R27" s="874"/>
      <c r="S27" s="874"/>
      <c r="T27" s="874"/>
      <c r="W27" s="874"/>
      <c r="X27" s="874"/>
      <c r="Y27" s="874"/>
      <c r="Z27" s="874"/>
      <c r="AA27" s="874"/>
      <c r="AD27" s="526"/>
      <c r="AE27" s="526"/>
      <c r="AF27" s="526"/>
      <c r="AG27" s="526"/>
      <c r="AH27" s="526"/>
      <c r="AI27" s="526"/>
      <c r="AJ27" s="526"/>
      <c r="AK27" s="526"/>
      <c r="AL27" s="526"/>
      <c r="AM27" s="526"/>
      <c r="AN27" s="526"/>
      <c r="AO27" s="526"/>
      <c r="AP27" s="526"/>
      <c r="AQ27" s="526"/>
      <c r="AR27" s="526"/>
      <c r="AS27" s="526"/>
      <c r="AT27" s="526"/>
      <c r="AU27" s="526"/>
      <c r="AV27" s="526"/>
      <c r="AW27" s="526"/>
      <c r="AX27" s="526"/>
      <c r="AY27" s="526"/>
      <c r="AZ27" s="526"/>
      <c r="BA27" s="526"/>
      <c r="BB27" s="526"/>
      <c r="BC27" s="526"/>
      <c r="BD27" s="526"/>
      <c r="BE27" s="526"/>
      <c r="BF27" s="526"/>
      <c r="BG27" s="526"/>
    </row>
    <row r="28" spans="1:59" s="830" customFormat="1" ht="17.25" customHeight="1" x14ac:dyDescent="0.25">
      <c r="A28" s="865"/>
      <c r="B28" s="865"/>
      <c r="C28" s="908"/>
      <c r="G28" s="865"/>
      <c r="H28" s="874"/>
      <c r="I28" s="869"/>
      <c r="J28" s="869"/>
      <c r="K28" s="869"/>
      <c r="L28" s="869"/>
      <c r="M28" s="874"/>
      <c r="O28" s="874"/>
      <c r="P28" s="874"/>
      <c r="Q28" s="874"/>
      <c r="R28" s="874"/>
      <c r="S28" s="874"/>
      <c r="T28" s="874"/>
      <c r="W28" s="874"/>
      <c r="X28" s="874"/>
      <c r="Y28" s="874"/>
      <c r="Z28" s="874"/>
      <c r="AA28" s="874"/>
      <c r="AD28" s="526"/>
      <c r="AE28" s="526"/>
      <c r="AF28" s="526"/>
      <c r="AG28" s="526"/>
      <c r="AH28" s="526"/>
      <c r="AI28" s="526"/>
      <c r="AJ28" s="526"/>
      <c r="AK28" s="526"/>
      <c r="AL28" s="526"/>
      <c r="AM28" s="526"/>
      <c r="AN28" s="526"/>
      <c r="AO28" s="526"/>
      <c r="AP28" s="526"/>
      <c r="AQ28" s="526"/>
      <c r="AR28" s="526"/>
      <c r="AS28" s="526"/>
      <c r="AT28" s="526"/>
      <c r="AU28" s="526"/>
      <c r="AV28" s="526"/>
      <c r="AW28" s="526"/>
      <c r="AX28" s="526"/>
      <c r="AY28" s="526"/>
      <c r="AZ28" s="526"/>
      <c r="BA28" s="526"/>
      <c r="BB28" s="526"/>
      <c r="BC28" s="526"/>
      <c r="BD28" s="526"/>
      <c r="BE28" s="526"/>
      <c r="BF28" s="526"/>
      <c r="BG28" s="526"/>
    </row>
    <row r="29" spans="1:59" s="830" customFormat="1" ht="17.25" customHeight="1" x14ac:dyDescent="0.25">
      <c r="A29" s="865"/>
      <c r="B29" s="865"/>
      <c r="C29" s="908"/>
      <c r="G29" s="865"/>
      <c r="H29" s="874"/>
      <c r="I29" s="869"/>
      <c r="J29" s="869"/>
      <c r="K29" s="869"/>
      <c r="L29" s="869"/>
      <c r="M29" s="874"/>
      <c r="O29" s="874"/>
      <c r="P29" s="874"/>
      <c r="Q29" s="874"/>
      <c r="R29" s="874"/>
      <c r="S29" s="874"/>
      <c r="T29" s="874"/>
      <c r="W29" s="874"/>
      <c r="X29" s="874"/>
      <c r="Y29" s="874"/>
      <c r="Z29" s="874"/>
      <c r="AA29" s="874"/>
      <c r="AD29" s="526"/>
      <c r="AE29" s="526"/>
      <c r="AF29" s="526"/>
      <c r="AG29" s="526"/>
      <c r="AH29" s="526"/>
      <c r="AI29" s="526"/>
      <c r="AJ29" s="526"/>
      <c r="AK29" s="526"/>
      <c r="AL29" s="526"/>
      <c r="AM29" s="526"/>
      <c r="AN29" s="526"/>
      <c r="AO29" s="526"/>
      <c r="AP29" s="526"/>
      <c r="AQ29" s="526"/>
      <c r="AR29" s="526"/>
      <c r="AS29" s="526"/>
      <c r="AT29" s="526"/>
      <c r="AU29" s="526"/>
      <c r="AV29" s="526"/>
      <c r="AW29" s="526"/>
      <c r="AX29" s="526"/>
      <c r="AY29" s="526"/>
      <c r="AZ29" s="526"/>
      <c r="BA29" s="526"/>
      <c r="BB29" s="526"/>
      <c r="BC29" s="526"/>
      <c r="BD29" s="526"/>
      <c r="BE29" s="526"/>
      <c r="BF29" s="526"/>
      <c r="BG29" s="526"/>
    </row>
    <row r="30" spans="1:59" s="830" customFormat="1" ht="17.25" customHeight="1" x14ac:dyDescent="0.25">
      <c r="A30" s="865"/>
      <c r="B30" s="865"/>
      <c r="C30" s="908"/>
      <c r="G30" s="865"/>
      <c r="H30" s="874"/>
      <c r="I30" s="869"/>
      <c r="J30" s="869"/>
      <c r="K30" s="869"/>
      <c r="L30" s="869"/>
      <c r="M30" s="874"/>
      <c r="O30" s="874"/>
      <c r="P30" s="874"/>
      <c r="Q30" s="874"/>
      <c r="R30" s="874"/>
      <c r="S30" s="874"/>
      <c r="T30" s="874"/>
      <c r="W30" s="874"/>
      <c r="X30" s="874"/>
      <c r="Y30" s="874"/>
      <c r="Z30" s="874"/>
      <c r="AA30" s="874"/>
      <c r="AD30" s="526"/>
      <c r="AE30" s="526"/>
      <c r="AF30" s="526"/>
      <c r="AG30" s="526"/>
      <c r="AH30" s="526"/>
      <c r="AI30" s="526"/>
      <c r="AJ30" s="526"/>
      <c r="AK30" s="526"/>
      <c r="AL30" s="526"/>
      <c r="AM30" s="526"/>
      <c r="AN30" s="526"/>
      <c r="AO30" s="526"/>
      <c r="AP30" s="526"/>
      <c r="AQ30" s="526"/>
      <c r="AR30" s="526"/>
      <c r="AS30" s="526"/>
      <c r="AT30" s="526"/>
      <c r="AU30" s="526"/>
      <c r="AV30" s="526"/>
      <c r="AW30" s="526"/>
      <c r="AX30" s="526"/>
      <c r="AY30" s="526"/>
      <c r="AZ30" s="526"/>
      <c r="BA30" s="526"/>
      <c r="BB30" s="526"/>
      <c r="BC30" s="526"/>
      <c r="BD30" s="526"/>
      <c r="BE30" s="526"/>
      <c r="BF30" s="526"/>
      <c r="BG30" s="526"/>
    </row>
    <row r="31" spans="1:59" s="830" customFormat="1" ht="17.25" customHeight="1" x14ac:dyDescent="0.25">
      <c r="A31" s="865"/>
      <c r="B31" s="865"/>
      <c r="C31" s="908"/>
      <c r="G31" s="865"/>
      <c r="H31" s="874"/>
      <c r="I31" s="869"/>
      <c r="J31" s="869"/>
      <c r="K31" s="869"/>
      <c r="L31" s="869"/>
      <c r="M31" s="874"/>
      <c r="O31" s="874"/>
      <c r="P31" s="874"/>
      <c r="Q31" s="874"/>
      <c r="R31" s="874"/>
      <c r="S31" s="874"/>
      <c r="T31" s="874"/>
      <c r="W31" s="874"/>
      <c r="X31" s="874"/>
      <c r="Y31" s="874"/>
      <c r="Z31" s="874"/>
      <c r="AA31" s="874"/>
      <c r="AD31" s="526"/>
      <c r="AE31" s="526"/>
      <c r="AF31" s="526"/>
      <c r="AG31" s="526"/>
      <c r="AH31" s="526"/>
      <c r="AI31" s="526"/>
      <c r="AJ31" s="526"/>
      <c r="AK31" s="526"/>
      <c r="AL31" s="526"/>
      <c r="AM31" s="526"/>
      <c r="AN31" s="526"/>
      <c r="AO31" s="526"/>
      <c r="AP31" s="526"/>
      <c r="AQ31" s="526"/>
      <c r="AR31" s="526"/>
      <c r="AS31" s="526"/>
      <c r="AT31" s="526"/>
      <c r="AU31" s="526"/>
      <c r="AV31" s="526"/>
      <c r="AW31" s="526"/>
      <c r="AX31" s="526"/>
      <c r="AY31" s="526"/>
      <c r="AZ31" s="526"/>
      <c r="BA31" s="526"/>
      <c r="BB31" s="526"/>
      <c r="BC31" s="526"/>
      <c r="BD31" s="526"/>
      <c r="BE31" s="526"/>
      <c r="BF31" s="526"/>
      <c r="BG31" s="526"/>
    </row>
    <row r="32" spans="1:59" s="830" customFormat="1" ht="17.25" customHeight="1" x14ac:dyDescent="0.25">
      <c r="A32" s="865"/>
      <c r="B32" s="865"/>
      <c r="C32" s="908"/>
      <c r="G32" s="865"/>
      <c r="H32" s="874"/>
      <c r="I32" s="869"/>
      <c r="J32" s="869"/>
      <c r="K32" s="869"/>
      <c r="L32" s="869"/>
      <c r="M32" s="874"/>
      <c r="O32" s="874"/>
      <c r="P32" s="874"/>
      <c r="Q32" s="874"/>
      <c r="R32" s="874"/>
      <c r="S32" s="874"/>
      <c r="T32" s="874"/>
      <c r="W32" s="874"/>
      <c r="X32" s="874"/>
      <c r="Y32" s="874"/>
      <c r="Z32" s="874"/>
      <c r="AA32" s="874"/>
      <c r="AD32" s="526"/>
      <c r="AE32" s="526"/>
      <c r="AF32" s="526"/>
      <c r="AG32" s="526"/>
      <c r="AH32" s="526"/>
      <c r="AI32" s="526"/>
      <c r="AJ32" s="526"/>
      <c r="AK32" s="526"/>
      <c r="AL32" s="526"/>
      <c r="AM32" s="526"/>
      <c r="AN32" s="526"/>
      <c r="AO32" s="526"/>
      <c r="AP32" s="526"/>
      <c r="AQ32" s="526"/>
      <c r="AR32" s="526"/>
      <c r="AS32" s="526"/>
      <c r="AT32" s="526"/>
      <c r="AU32" s="526"/>
      <c r="AV32" s="526"/>
      <c r="AW32" s="526"/>
      <c r="AX32" s="526"/>
      <c r="AY32" s="526"/>
      <c r="AZ32" s="526"/>
      <c r="BA32" s="526"/>
      <c r="BB32" s="526"/>
      <c r="BC32" s="526"/>
      <c r="BD32" s="526"/>
      <c r="BE32" s="526"/>
      <c r="BF32" s="526"/>
      <c r="BG32" s="526"/>
    </row>
    <row r="33" spans="1:59" s="830" customFormat="1" ht="17.25" customHeight="1" x14ac:dyDescent="0.25">
      <c r="A33" s="865"/>
      <c r="B33" s="865"/>
      <c r="C33" s="908"/>
      <c r="G33" s="865"/>
      <c r="H33" s="874"/>
      <c r="I33" s="869"/>
      <c r="J33" s="869"/>
      <c r="K33" s="869"/>
      <c r="L33" s="869"/>
      <c r="M33" s="874"/>
      <c r="O33" s="874"/>
      <c r="P33" s="874"/>
      <c r="Q33" s="874"/>
      <c r="R33" s="874"/>
      <c r="S33" s="874"/>
      <c r="T33" s="874"/>
      <c r="W33" s="874"/>
      <c r="X33" s="874"/>
      <c r="Y33" s="874"/>
      <c r="Z33" s="874"/>
      <c r="AA33" s="874"/>
      <c r="AD33" s="526"/>
      <c r="AE33" s="526"/>
      <c r="AF33" s="526"/>
      <c r="AG33" s="526"/>
      <c r="AH33" s="526"/>
      <c r="AI33" s="526"/>
      <c r="AJ33" s="526"/>
      <c r="AK33" s="526"/>
      <c r="AL33" s="526"/>
      <c r="AM33" s="526"/>
      <c r="AN33" s="526"/>
      <c r="AO33" s="526"/>
      <c r="AP33" s="526"/>
      <c r="AQ33" s="526"/>
      <c r="AR33" s="526"/>
      <c r="AS33" s="526"/>
      <c r="AT33" s="526"/>
      <c r="AU33" s="526"/>
      <c r="AV33" s="526"/>
      <c r="AW33" s="526"/>
      <c r="AX33" s="526"/>
      <c r="AY33" s="526"/>
      <c r="AZ33" s="526"/>
      <c r="BA33" s="526"/>
      <c r="BB33" s="526"/>
      <c r="BC33" s="526"/>
      <c r="BD33" s="526"/>
      <c r="BE33" s="526"/>
      <c r="BF33" s="526"/>
      <c r="BG33" s="526"/>
    </row>
    <row r="34" spans="1:59" s="830" customFormat="1" ht="17.25" customHeight="1" x14ac:dyDescent="0.25">
      <c r="A34" s="865"/>
      <c r="B34" s="865"/>
      <c r="C34" s="908"/>
      <c r="G34" s="865"/>
      <c r="H34" s="874"/>
      <c r="I34" s="869"/>
      <c r="J34" s="869"/>
      <c r="K34" s="869"/>
      <c r="L34" s="869"/>
      <c r="M34" s="874"/>
      <c r="O34" s="874"/>
      <c r="P34" s="874"/>
      <c r="Q34" s="874"/>
      <c r="R34" s="874"/>
      <c r="S34" s="874"/>
      <c r="T34" s="874"/>
      <c r="W34" s="874"/>
      <c r="X34" s="874"/>
      <c r="Y34" s="874"/>
      <c r="Z34" s="874"/>
      <c r="AA34" s="874"/>
      <c r="AD34" s="526"/>
      <c r="AE34" s="526"/>
      <c r="AF34" s="526"/>
      <c r="AG34" s="526"/>
      <c r="AH34" s="526"/>
      <c r="AI34" s="526"/>
      <c r="AJ34" s="526"/>
      <c r="AK34" s="526"/>
      <c r="AL34" s="526"/>
      <c r="AM34" s="526"/>
      <c r="AN34" s="526"/>
      <c r="AO34" s="526"/>
      <c r="AP34" s="526"/>
      <c r="AQ34" s="526"/>
      <c r="AR34" s="526"/>
      <c r="AS34" s="526"/>
      <c r="AT34" s="526"/>
      <c r="AU34" s="526"/>
      <c r="AV34" s="526"/>
      <c r="AW34" s="526"/>
      <c r="AX34" s="526"/>
      <c r="AY34" s="526"/>
      <c r="AZ34" s="526"/>
      <c r="BA34" s="526"/>
      <c r="BB34" s="526"/>
      <c r="BC34" s="526"/>
      <c r="BD34" s="526"/>
      <c r="BE34" s="526"/>
      <c r="BF34" s="526"/>
      <c r="BG34" s="526"/>
    </row>
    <row r="35" spans="1:59" s="830" customFormat="1" ht="17.25" customHeight="1" x14ac:dyDescent="0.25">
      <c r="A35" s="865"/>
      <c r="B35" s="865"/>
      <c r="C35" s="908"/>
      <c r="G35" s="865"/>
      <c r="H35" s="874"/>
      <c r="I35" s="869"/>
      <c r="J35" s="869"/>
      <c r="K35" s="869"/>
      <c r="L35" s="869"/>
      <c r="M35" s="874"/>
      <c r="O35" s="874"/>
      <c r="P35" s="874"/>
      <c r="Q35" s="874"/>
      <c r="R35" s="874"/>
      <c r="S35" s="874"/>
      <c r="T35" s="874"/>
      <c r="W35" s="874"/>
      <c r="X35" s="874"/>
      <c r="Y35" s="874"/>
      <c r="Z35" s="874"/>
      <c r="AA35" s="874"/>
      <c r="AD35" s="526"/>
      <c r="AE35" s="526"/>
      <c r="AF35" s="526"/>
      <c r="AG35" s="526"/>
      <c r="AH35" s="526"/>
      <c r="AI35" s="526"/>
      <c r="AJ35" s="526"/>
      <c r="AK35" s="526"/>
      <c r="AL35" s="526"/>
      <c r="AM35" s="526"/>
      <c r="AN35" s="526"/>
      <c r="AO35" s="526"/>
      <c r="AP35" s="526"/>
      <c r="AQ35" s="526"/>
      <c r="AR35" s="526"/>
      <c r="AS35" s="526"/>
      <c r="AT35" s="526"/>
      <c r="AU35" s="526"/>
      <c r="AV35" s="526"/>
      <c r="AW35" s="526"/>
      <c r="AX35" s="526"/>
      <c r="AY35" s="526"/>
      <c r="AZ35" s="526"/>
      <c r="BA35" s="526"/>
      <c r="BB35" s="526"/>
      <c r="BC35" s="526"/>
      <c r="BD35" s="526"/>
      <c r="BE35" s="526"/>
      <c r="BF35" s="526"/>
      <c r="BG35" s="526"/>
    </row>
    <row r="36" spans="1:59" s="830" customFormat="1" ht="17.25" customHeight="1" x14ac:dyDescent="0.25">
      <c r="A36" s="865"/>
      <c r="B36" s="865"/>
      <c r="C36" s="908"/>
      <c r="G36" s="865"/>
      <c r="H36" s="874"/>
      <c r="I36" s="869"/>
      <c r="J36" s="869"/>
      <c r="K36" s="869"/>
      <c r="L36" s="869"/>
      <c r="M36" s="874"/>
      <c r="O36" s="874"/>
      <c r="P36" s="874"/>
      <c r="Q36" s="874"/>
      <c r="R36" s="874"/>
      <c r="S36" s="874"/>
      <c r="T36" s="874"/>
      <c r="W36" s="874"/>
      <c r="X36" s="874"/>
      <c r="Y36" s="874"/>
      <c r="Z36" s="874"/>
      <c r="AA36" s="874"/>
      <c r="AD36" s="526"/>
      <c r="AE36" s="526"/>
      <c r="AF36" s="526"/>
      <c r="AG36" s="526"/>
      <c r="AH36" s="526"/>
      <c r="AI36" s="526"/>
      <c r="AJ36" s="526"/>
      <c r="AK36" s="526"/>
      <c r="AL36" s="526"/>
      <c r="AM36" s="526"/>
      <c r="AN36" s="526"/>
      <c r="AO36" s="526"/>
      <c r="AP36" s="526"/>
      <c r="AQ36" s="526"/>
      <c r="AR36" s="526"/>
      <c r="AS36" s="526"/>
      <c r="AT36" s="526"/>
      <c r="AU36" s="526"/>
      <c r="AV36" s="526"/>
      <c r="AW36" s="526"/>
      <c r="AX36" s="526"/>
      <c r="AY36" s="526"/>
      <c r="AZ36" s="526"/>
      <c r="BA36" s="526"/>
      <c r="BB36" s="526"/>
      <c r="BC36" s="526"/>
      <c r="BD36" s="526"/>
      <c r="BE36" s="526"/>
      <c r="BF36" s="526"/>
      <c r="BG36" s="526"/>
    </row>
    <row r="37" spans="1:59" s="830" customFormat="1" ht="17.25" customHeight="1" x14ac:dyDescent="0.25">
      <c r="A37" s="865"/>
      <c r="B37" s="865"/>
      <c r="C37" s="908"/>
      <c r="G37" s="865"/>
      <c r="H37" s="874"/>
      <c r="I37" s="869"/>
      <c r="J37" s="869"/>
      <c r="K37" s="869"/>
      <c r="L37" s="869"/>
      <c r="M37" s="874"/>
      <c r="O37" s="874"/>
      <c r="P37" s="874"/>
      <c r="Q37" s="874"/>
      <c r="R37" s="874"/>
      <c r="S37" s="874"/>
      <c r="T37" s="874"/>
      <c r="W37" s="874"/>
      <c r="X37" s="874"/>
      <c r="Y37" s="874"/>
      <c r="Z37" s="874"/>
      <c r="AA37" s="874"/>
      <c r="AD37" s="526"/>
      <c r="AE37" s="526"/>
      <c r="AF37" s="526"/>
      <c r="AG37" s="526"/>
      <c r="AH37" s="526"/>
      <c r="AI37" s="526"/>
      <c r="AJ37" s="526"/>
      <c r="AK37" s="526"/>
      <c r="AL37" s="526"/>
      <c r="AM37" s="526"/>
      <c r="AN37" s="526"/>
      <c r="AO37" s="526"/>
      <c r="AP37" s="526"/>
      <c r="AQ37" s="526"/>
      <c r="AR37" s="526"/>
      <c r="AS37" s="526"/>
      <c r="AT37" s="526"/>
      <c r="AU37" s="526"/>
      <c r="AV37" s="526"/>
      <c r="AW37" s="526"/>
      <c r="AX37" s="526"/>
      <c r="AY37" s="526"/>
      <c r="AZ37" s="526"/>
      <c r="BA37" s="526"/>
      <c r="BB37" s="526"/>
      <c r="BC37" s="526"/>
      <c r="BD37" s="526"/>
      <c r="BE37" s="526"/>
      <c r="BF37" s="526"/>
      <c r="BG37" s="526"/>
    </row>
    <row r="38" spans="1:59" s="830" customFormat="1" ht="17.25" customHeight="1" x14ac:dyDescent="0.25">
      <c r="A38" s="865"/>
      <c r="B38" s="865"/>
      <c r="C38" s="908"/>
      <c r="G38" s="865"/>
      <c r="H38" s="874"/>
      <c r="I38" s="869"/>
      <c r="J38" s="869"/>
      <c r="K38" s="869"/>
      <c r="L38" s="869"/>
      <c r="M38" s="874"/>
      <c r="O38" s="874"/>
      <c r="P38" s="874"/>
      <c r="Q38" s="874"/>
      <c r="R38" s="874"/>
      <c r="S38" s="874"/>
      <c r="T38" s="874"/>
      <c r="W38" s="874"/>
      <c r="X38" s="874"/>
      <c r="Y38" s="874"/>
      <c r="Z38" s="874"/>
      <c r="AA38" s="874"/>
      <c r="AD38" s="526"/>
      <c r="AE38" s="526"/>
      <c r="AF38" s="526"/>
      <c r="AG38" s="526"/>
      <c r="AH38" s="526"/>
      <c r="AI38" s="526"/>
      <c r="AJ38" s="526"/>
      <c r="AK38" s="526"/>
      <c r="AL38" s="526"/>
      <c r="AM38" s="526"/>
      <c r="AN38" s="526"/>
      <c r="AO38" s="526"/>
      <c r="AP38" s="526"/>
      <c r="AQ38" s="526"/>
      <c r="AR38" s="526"/>
      <c r="AS38" s="526"/>
      <c r="AT38" s="526"/>
      <c r="AU38" s="526"/>
      <c r="AV38" s="526"/>
      <c r="AW38" s="526"/>
      <c r="AX38" s="526"/>
      <c r="AY38" s="526"/>
      <c r="AZ38" s="526"/>
      <c r="BA38" s="526"/>
      <c r="BB38" s="526"/>
      <c r="BC38" s="526"/>
      <c r="BD38" s="526"/>
      <c r="BE38" s="526"/>
      <c r="BF38" s="526"/>
      <c r="BG38" s="526"/>
    </row>
    <row r="39" spans="1:59" s="830" customFormat="1" ht="17.25" customHeight="1" x14ac:dyDescent="0.25">
      <c r="A39" s="865"/>
      <c r="B39" s="865"/>
      <c r="C39" s="908"/>
      <c r="G39" s="865"/>
      <c r="H39" s="874"/>
      <c r="I39" s="869"/>
      <c r="J39" s="869"/>
      <c r="K39" s="869"/>
      <c r="L39" s="869"/>
      <c r="M39" s="874"/>
      <c r="O39" s="874"/>
      <c r="P39" s="874"/>
      <c r="Q39" s="874"/>
      <c r="R39" s="874"/>
      <c r="S39" s="874"/>
      <c r="T39" s="874"/>
      <c r="W39" s="874"/>
      <c r="X39" s="874"/>
      <c r="Y39" s="874"/>
      <c r="Z39" s="874"/>
      <c r="AA39" s="874"/>
      <c r="AD39" s="526"/>
      <c r="AE39" s="526"/>
      <c r="AF39" s="526"/>
      <c r="AG39" s="526"/>
      <c r="AH39" s="526"/>
      <c r="AI39" s="526"/>
      <c r="AJ39" s="526"/>
      <c r="AK39" s="526"/>
      <c r="AL39" s="526"/>
      <c r="AM39" s="526"/>
      <c r="AN39" s="526"/>
      <c r="AO39" s="526"/>
      <c r="AP39" s="526"/>
      <c r="AQ39" s="526"/>
      <c r="AR39" s="526"/>
      <c r="AS39" s="526"/>
      <c r="AT39" s="526"/>
      <c r="AU39" s="526"/>
      <c r="AV39" s="526"/>
      <c r="AW39" s="526"/>
      <c r="AX39" s="526"/>
      <c r="AY39" s="526"/>
      <c r="AZ39" s="526"/>
      <c r="BA39" s="526"/>
      <c r="BB39" s="526"/>
      <c r="BC39" s="526"/>
      <c r="BD39" s="526"/>
      <c r="BE39" s="526"/>
      <c r="BF39" s="526"/>
      <c r="BG39" s="526"/>
    </row>
    <row r="40" spans="1:59" s="830" customFormat="1" ht="17.25" customHeight="1" x14ac:dyDescent="0.25">
      <c r="A40" s="865"/>
      <c r="B40" s="865"/>
      <c r="C40" s="908"/>
      <c r="G40" s="865"/>
      <c r="H40" s="874"/>
      <c r="I40" s="869"/>
      <c r="J40" s="869"/>
      <c r="K40" s="869"/>
      <c r="L40" s="869"/>
      <c r="M40" s="874"/>
      <c r="O40" s="874"/>
      <c r="P40" s="874"/>
      <c r="Q40" s="874"/>
      <c r="R40" s="874"/>
      <c r="S40" s="874"/>
      <c r="T40" s="874"/>
      <c r="W40" s="874"/>
      <c r="X40" s="874"/>
      <c r="Y40" s="874"/>
      <c r="Z40" s="874"/>
      <c r="AA40" s="874"/>
      <c r="AD40" s="526"/>
      <c r="AE40" s="526"/>
      <c r="AF40" s="526"/>
      <c r="AG40" s="526"/>
      <c r="AH40" s="526"/>
      <c r="AI40" s="526"/>
      <c r="AJ40" s="526"/>
      <c r="AK40" s="526"/>
      <c r="AL40" s="526"/>
      <c r="AM40" s="526"/>
      <c r="AN40" s="526"/>
      <c r="AO40" s="526"/>
      <c r="AP40" s="526"/>
      <c r="AQ40" s="526"/>
      <c r="AR40" s="526"/>
      <c r="AS40" s="526"/>
      <c r="AT40" s="526"/>
      <c r="AU40" s="526"/>
      <c r="AV40" s="526"/>
      <c r="AW40" s="526"/>
      <c r="AX40" s="526"/>
      <c r="AY40" s="526"/>
      <c r="AZ40" s="526"/>
      <c r="BA40" s="526"/>
      <c r="BB40" s="526"/>
      <c r="BC40" s="526"/>
      <c r="BD40" s="526"/>
      <c r="BE40" s="526"/>
      <c r="BF40" s="526"/>
      <c r="BG40" s="526"/>
    </row>
    <row r="41" spans="1:59" s="830" customFormat="1" ht="17.25" customHeight="1" x14ac:dyDescent="0.25">
      <c r="A41" s="865"/>
      <c r="B41" s="865"/>
      <c r="C41" s="908"/>
      <c r="G41" s="865"/>
      <c r="H41" s="874"/>
      <c r="I41" s="869"/>
      <c r="J41" s="869"/>
      <c r="K41" s="869"/>
      <c r="L41" s="869"/>
      <c r="M41" s="874"/>
      <c r="O41" s="874"/>
      <c r="P41" s="874"/>
      <c r="Q41" s="874"/>
      <c r="R41" s="874"/>
      <c r="S41" s="874"/>
      <c r="T41" s="874"/>
      <c r="W41" s="874"/>
      <c r="X41" s="874"/>
      <c r="Y41" s="874"/>
      <c r="Z41" s="874"/>
      <c r="AA41" s="874"/>
      <c r="AD41" s="526"/>
      <c r="AE41" s="526"/>
      <c r="AF41" s="526"/>
      <c r="AG41" s="526"/>
      <c r="AH41" s="526"/>
      <c r="AI41" s="526"/>
      <c r="AJ41" s="526"/>
      <c r="AK41" s="526"/>
      <c r="AL41" s="526"/>
      <c r="AM41" s="526"/>
      <c r="AN41" s="526"/>
      <c r="AO41" s="526"/>
      <c r="AP41" s="526"/>
      <c r="AQ41" s="526"/>
      <c r="AR41" s="526"/>
      <c r="AS41" s="526"/>
      <c r="AT41" s="526"/>
      <c r="AU41" s="526"/>
      <c r="AV41" s="526"/>
      <c r="AW41" s="526"/>
      <c r="AX41" s="526"/>
      <c r="AY41" s="526"/>
      <c r="AZ41" s="526"/>
      <c r="BA41" s="526"/>
      <c r="BB41" s="526"/>
      <c r="BC41" s="526"/>
      <c r="BD41" s="526"/>
      <c r="BE41" s="526"/>
      <c r="BF41" s="526"/>
      <c r="BG41" s="526"/>
    </row>
    <row r="42" spans="1:59" s="830" customFormat="1" ht="17.25" customHeight="1" x14ac:dyDescent="0.25">
      <c r="A42" s="865"/>
      <c r="B42" s="865"/>
      <c r="C42" s="908"/>
      <c r="G42" s="865"/>
      <c r="H42" s="874"/>
      <c r="I42" s="869"/>
      <c r="J42" s="869"/>
      <c r="K42" s="869"/>
      <c r="L42" s="869"/>
      <c r="M42" s="874"/>
      <c r="O42" s="874"/>
      <c r="P42" s="874"/>
      <c r="Q42" s="874"/>
      <c r="R42" s="874"/>
      <c r="S42" s="874"/>
      <c r="T42" s="874"/>
      <c r="W42" s="874"/>
      <c r="X42" s="874"/>
      <c r="Y42" s="874"/>
      <c r="Z42" s="874"/>
      <c r="AA42" s="874"/>
      <c r="AD42" s="526"/>
      <c r="AE42" s="526"/>
      <c r="AF42" s="526"/>
      <c r="AG42" s="526"/>
      <c r="AH42" s="526"/>
      <c r="AI42" s="526"/>
      <c r="AJ42" s="526"/>
      <c r="AK42" s="526"/>
      <c r="AL42" s="526"/>
      <c r="AM42" s="526"/>
      <c r="AN42" s="526"/>
      <c r="AO42" s="526"/>
      <c r="AP42" s="526"/>
      <c r="AQ42" s="526"/>
      <c r="AR42" s="526"/>
      <c r="AS42" s="526"/>
      <c r="AT42" s="526"/>
      <c r="AU42" s="526"/>
      <c r="AV42" s="526"/>
      <c r="AW42" s="526"/>
      <c r="AX42" s="526"/>
      <c r="AY42" s="526"/>
      <c r="AZ42" s="526"/>
      <c r="BA42" s="526"/>
      <c r="BB42" s="526"/>
      <c r="BC42" s="526"/>
      <c r="BD42" s="526"/>
      <c r="BE42" s="526"/>
      <c r="BF42" s="526"/>
      <c r="BG42" s="526"/>
    </row>
    <row r="43" spans="1:59" s="830" customFormat="1" ht="17.25" customHeight="1" x14ac:dyDescent="0.25">
      <c r="A43" s="865"/>
      <c r="B43" s="865"/>
      <c r="C43" s="908"/>
      <c r="G43" s="865"/>
      <c r="H43" s="874"/>
      <c r="I43" s="869"/>
      <c r="J43" s="869"/>
      <c r="K43" s="869"/>
      <c r="L43" s="869"/>
      <c r="M43" s="874"/>
      <c r="O43" s="874"/>
      <c r="P43" s="874"/>
      <c r="Q43" s="874"/>
      <c r="R43" s="874"/>
      <c r="S43" s="874"/>
      <c r="T43" s="874"/>
      <c r="W43" s="874"/>
      <c r="X43" s="874"/>
      <c r="Y43" s="874"/>
      <c r="Z43" s="874"/>
      <c r="AA43" s="874"/>
      <c r="AD43" s="526"/>
      <c r="AE43" s="526"/>
      <c r="AF43" s="526"/>
      <c r="AG43" s="526"/>
      <c r="AH43" s="526"/>
      <c r="AI43" s="526"/>
      <c r="AJ43" s="526"/>
      <c r="AK43" s="526"/>
      <c r="AL43" s="526"/>
      <c r="AM43" s="526"/>
      <c r="AN43" s="526"/>
      <c r="AO43" s="526"/>
      <c r="AP43" s="526"/>
      <c r="AQ43" s="526"/>
      <c r="AR43" s="526"/>
      <c r="AS43" s="526"/>
      <c r="AT43" s="526"/>
      <c r="AU43" s="526"/>
      <c r="AV43" s="526"/>
      <c r="AW43" s="526"/>
      <c r="AX43" s="526"/>
      <c r="AY43" s="526"/>
      <c r="AZ43" s="526"/>
      <c r="BA43" s="526"/>
      <c r="BB43" s="526"/>
      <c r="BC43" s="526"/>
      <c r="BD43" s="526"/>
      <c r="BE43" s="526"/>
      <c r="BF43" s="526"/>
      <c r="BG43" s="526"/>
    </row>
    <row r="44" spans="1:59" s="830" customFormat="1" ht="17.25" customHeight="1" x14ac:dyDescent="0.25">
      <c r="A44" s="865"/>
      <c r="B44" s="865"/>
      <c r="C44" s="908"/>
      <c r="G44" s="865"/>
      <c r="H44" s="874"/>
      <c r="I44" s="869"/>
      <c r="J44" s="869"/>
      <c r="K44" s="869"/>
      <c r="L44" s="869"/>
      <c r="M44" s="874"/>
      <c r="O44" s="874"/>
      <c r="P44" s="874"/>
      <c r="Q44" s="874"/>
      <c r="R44" s="874"/>
      <c r="S44" s="874"/>
      <c r="T44" s="874"/>
      <c r="W44" s="874"/>
      <c r="X44" s="874"/>
      <c r="Y44" s="874"/>
      <c r="Z44" s="874"/>
      <c r="AA44" s="874"/>
      <c r="AD44" s="526"/>
      <c r="AE44" s="526"/>
      <c r="AF44" s="526"/>
      <c r="AG44" s="526"/>
      <c r="AH44" s="526"/>
      <c r="AI44" s="526"/>
      <c r="AJ44" s="526"/>
      <c r="AK44" s="526"/>
      <c r="AL44" s="526"/>
      <c r="AM44" s="526"/>
      <c r="AN44" s="526"/>
      <c r="AO44" s="526"/>
      <c r="AP44" s="526"/>
      <c r="AQ44" s="526"/>
      <c r="AR44" s="526"/>
      <c r="AS44" s="526"/>
      <c r="AT44" s="526"/>
      <c r="AU44" s="526"/>
      <c r="AV44" s="526"/>
      <c r="AW44" s="526"/>
      <c r="AX44" s="526"/>
      <c r="AY44" s="526"/>
      <c r="AZ44" s="526"/>
      <c r="BA44" s="526"/>
      <c r="BB44" s="526"/>
      <c r="BC44" s="526"/>
      <c r="BD44" s="526"/>
      <c r="BE44" s="526"/>
      <c r="BF44" s="526"/>
      <c r="BG44" s="526"/>
    </row>
    <row r="45" spans="1:59" s="830" customFormat="1" ht="17.25" customHeight="1" x14ac:dyDescent="0.25">
      <c r="A45" s="865"/>
      <c r="B45" s="865"/>
      <c r="C45" s="908"/>
      <c r="G45" s="865"/>
      <c r="H45" s="874"/>
      <c r="I45" s="869"/>
      <c r="J45" s="869"/>
      <c r="K45" s="869"/>
      <c r="L45" s="869"/>
      <c r="M45" s="874"/>
      <c r="O45" s="874"/>
      <c r="P45" s="874"/>
      <c r="Q45" s="874"/>
      <c r="R45" s="874"/>
      <c r="S45" s="874"/>
      <c r="T45" s="874"/>
      <c r="W45" s="874"/>
      <c r="X45" s="874"/>
      <c r="Y45" s="874"/>
      <c r="Z45" s="874"/>
      <c r="AA45" s="874"/>
      <c r="AD45" s="526"/>
      <c r="AE45" s="526"/>
      <c r="AF45" s="526"/>
      <c r="AG45" s="526"/>
      <c r="AH45" s="526"/>
      <c r="AI45" s="526"/>
      <c r="AJ45" s="526"/>
      <c r="AK45" s="526"/>
      <c r="AL45" s="526"/>
      <c r="AM45" s="526"/>
      <c r="AN45" s="526"/>
      <c r="AO45" s="526"/>
      <c r="AP45" s="526"/>
      <c r="AQ45" s="526"/>
      <c r="AR45" s="526"/>
      <c r="AS45" s="526"/>
      <c r="AT45" s="526"/>
      <c r="AU45" s="526"/>
      <c r="AV45" s="526"/>
      <c r="AW45" s="526"/>
      <c r="AX45" s="526"/>
      <c r="AY45" s="526"/>
      <c r="AZ45" s="526"/>
      <c r="BA45" s="526"/>
      <c r="BB45" s="526"/>
      <c r="BC45" s="526"/>
      <c r="BD45" s="526"/>
      <c r="BE45" s="526"/>
      <c r="BF45" s="526"/>
      <c r="BG45" s="526"/>
    </row>
    <row r="46" spans="1:59" s="830" customFormat="1" ht="17.25" customHeight="1" x14ac:dyDescent="0.25">
      <c r="A46" s="865"/>
      <c r="B46" s="865"/>
      <c r="C46" s="908"/>
      <c r="G46" s="865"/>
      <c r="H46" s="874"/>
      <c r="I46" s="869"/>
      <c r="J46" s="869"/>
      <c r="K46" s="869"/>
      <c r="L46" s="869"/>
      <c r="M46" s="874"/>
      <c r="O46" s="874"/>
      <c r="P46" s="874"/>
      <c r="Q46" s="874"/>
      <c r="R46" s="874"/>
      <c r="S46" s="874"/>
      <c r="T46" s="874"/>
      <c r="W46" s="874"/>
      <c r="X46" s="874"/>
      <c r="Y46" s="874"/>
      <c r="Z46" s="874"/>
      <c r="AA46" s="874"/>
      <c r="AD46" s="526"/>
      <c r="AE46" s="526"/>
      <c r="AF46" s="526"/>
      <c r="AG46" s="526"/>
      <c r="AH46" s="526"/>
      <c r="AI46" s="526"/>
      <c r="AJ46" s="526"/>
      <c r="AK46" s="526"/>
      <c r="AL46" s="526"/>
      <c r="AM46" s="526"/>
      <c r="AN46" s="526"/>
      <c r="AO46" s="526"/>
      <c r="AP46" s="526"/>
      <c r="AQ46" s="526"/>
      <c r="AR46" s="526"/>
      <c r="AS46" s="526"/>
      <c r="AT46" s="526"/>
      <c r="AU46" s="526"/>
      <c r="AV46" s="526"/>
      <c r="AW46" s="526"/>
      <c r="AX46" s="526"/>
      <c r="AY46" s="526"/>
      <c r="AZ46" s="526"/>
      <c r="BA46" s="526"/>
      <c r="BB46" s="526"/>
      <c r="BC46" s="526"/>
      <c r="BD46" s="526"/>
      <c r="BE46" s="526"/>
      <c r="BF46" s="526"/>
      <c r="BG46" s="526"/>
    </row>
    <row r="47" spans="1:59" s="830" customFormat="1" ht="17.25" customHeight="1" x14ac:dyDescent="0.25">
      <c r="A47" s="865"/>
      <c r="B47" s="865"/>
      <c r="C47" s="908"/>
      <c r="G47" s="865"/>
      <c r="H47" s="874"/>
      <c r="I47" s="869"/>
      <c r="J47" s="869"/>
      <c r="K47" s="869"/>
      <c r="L47" s="869"/>
      <c r="M47" s="874"/>
      <c r="O47" s="874"/>
      <c r="P47" s="874"/>
      <c r="Q47" s="874"/>
      <c r="R47" s="874"/>
      <c r="S47" s="874"/>
      <c r="T47" s="874"/>
      <c r="W47" s="874"/>
      <c r="X47" s="874"/>
      <c r="Y47" s="874"/>
      <c r="Z47" s="874"/>
      <c r="AA47" s="874"/>
      <c r="AD47" s="526"/>
      <c r="AE47" s="526"/>
      <c r="AF47" s="526"/>
      <c r="AG47" s="526"/>
      <c r="AH47" s="526"/>
      <c r="AI47" s="526"/>
      <c r="AJ47" s="526"/>
      <c r="AK47" s="526"/>
      <c r="AL47" s="526"/>
      <c r="AM47" s="526"/>
      <c r="AN47" s="526"/>
      <c r="AO47" s="526"/>
      <c r="AP47" s="526"/>
      <c r="AQ47" s="526"/>
      <c r="AR47" s="526"/>
      <c r="AS47" s="526"/>
      <c r="AT47" s="526"/>
      <c r="AU47" s="526"/>
      <c r="AV47" s="526"/>
      <c r="AW47" s="526"/>
      <c r="AX47" s="526"/>
      <c r="AY47" s="526"/>
      <c r="AZ47" s="526"/>
      <c r="BA47" s="526"/>
      <c r="BB47" s="526"/>
      <c r="BC47" s="526"/>
      <c r="BD47" s="526"/>
      <c r="BE47" s="526"/>
      <c r="BF47" s="526"/>
      <c r="BG47" s="526"/>
    </row>
    <row r="48" spans="1:59" s="830" customFormat="1" ht="17.25" customHeight="1" x14ac:dyDescent="0.25">
      <c r="A48" s="865"/>
      <c r="B48" s="865"/>
      <c r="C48" s="908"/>
      <c r="G48" s="865"/>
      <c r="H48" s="874"/>
      <c r="I48" s="869"/>
      <c r="J48" s="869"/>
      <c r="K48" s="869"/>
      <c r="L48" s="869"/>
      <c r="M48" s="874"/>
      <c r="O48" s="874"/>
      <c r="P48" s="874"/>
      <c r="Q48" s="874"/>
      <c r="R48" s="874"/>
      <c r="S48" s="874"/>
      <c r="T48" s="874"/>
      <c r="W48" s="874"/>
      <c r="X48" s="874"/>
      <c r="Y48" s="874"/>
      <c r="Z48" s="874"/>
      <c r="AA48" s="874"/>
      <c r="AD48" s="526"/>
      <c r="AE48" s="526"/>
      <c r="AF48" s="526"/>
      <c r="AG48" s="526"/>
      <c r="AH48" s="526"/>
      <c r="AI48" s="526"/>
      <c r="AJ48" s="526"/>
      <c r="AK48" s="526"/>
      <c r="AL48" s="526"/>
      <c r="AM48" s="526"/>
      <c r="AN48" s="526"/>
      <c r="AO48" s="526"/>
      <c r="AP48" s="526"/>
      <c r="AQ48" s="526"/>
      <c r="AR48" s="526"/>
      <c r="AS48" s="526"/>
      <c r="AT48" s="526"/>
      <c r="AU48" s="526"/>
      <c r="AV48" s="526"/>
      <c r="AW48" s="526"/>
      <c r="AX48" s="526"/>
      <c r="AY48" s="526"/>
      <c r="AZ48" s="526"/>
      <c r="BA48" s="526"/>
      <c r="BB48" s="526"/>
      <c r="BC48" s="526"/>
      <c r="BD48" s="526"/>
      <c r="BE48" s="526"/>
      <c r="BF48" s="526"/>
      <c r="BG48" s="526"/>
    </row>
    <row r="49" spans="1:59" s="830" customFormat="1" ht="17.25" customHeight="1" x14ac:dyDescent="0.25">
      <c r="A49" s="865"/>
      <c r="B49" s="865"/>
      <c r="C49" s="908"/>
      <c r="G49" s="865"/>
      <c r="H49" s="874"/>
      <c r="I49" s="869"/>
      <c r="J49" s="869"/>
      <c r="K49" s="869"/>
      <c r="L49" s="869"/>
      <c r="M49" s="874"/>
      <c r="O49" s="874"/>
      <c r="P49" s="874"/>
      <c r="Q49" s="874"/>
      <c r="R49" s="874"/>
      <c r="S49" s="874"/>
      <c r="T49" s="874"/>
      <c r="W49" s="874"/>
      <c r="X49" s="874"/>
      <c r="Y49" s="874"/>
      <c r="Z49" s="874"/>
      <c r="AA49" s="874"/>
      <c r="AD49" s="526"/>
      <c r="AE49" s="526"/>
      <c r="AF49" s="526"/>
      <c r="AG49" s="526"/>
      <c r="AH49" s="526"/>
      <c r="AI49" s="526"/>
      <c r="AJ49" s="526"/>
      <c r="AK49" s="526"/>
      <c r="AL49" s="526"/>
      <c r="AM49" s="526"/>
      <c r="AN49" s="526"/>
      <c r="AO49" s="526"/>
      <c r="AP49" s="526"/>
      <c r="AQ49" s="526"/>
      <c r="AR49" s="526"/>
      <c r="AS49" s="526"/>
      <c r="AT49" s="526"/>
      <c r="AU49" s="526"/>
      <c r="AV49" s="526"/>
      <c r="AW49" s="526"/>
      <c r="AX49" s="526"/>
      <c r="AY49" s="526"/>
      <c r="AZ49" s="526"/>
      <c r="BA49" s="526"/>
      <c r="BB49" s="526"/>
      <c r="BC49" s="526"/>
      <c r="BD49" s="526"/>
      <c r="BE49" s="526"/>
      <c r="BF49" s="526"/>
      <c r="BG49" s="526"/>
    </row>
    <row r="50" spans="1:59" s="830" customFormat="1" ht="17.25" customHeight="1" x14ac:dyDescent="0.25">
      <c r="A50" s="865"/>
      <c r="B50" s="865"/>
      <c r="C50" s="908"/>
      <c r="G50" s="865"/>
      <c r="H50" s="874"/>
      <c r="I50" s="869"/>
      <c r="J50" s="869"/>
      <c r="K50" s="869"/>
      <c r="L50" s="869"/>
      <c r="M50" s="874"/>
      <c r="O50" s="874"/>
      <c r="P50" s="874"/>
      <c r="Q50" s="874"/>
      <c r="R50" s="874"/>
      <c r="S50" s="874"/>
      <c r="T50" s="874"/>
      <c r="W50" s="874"/>
      <c r="X50" s="874"/>
      <c r="Y50" s="874"/>
      <c r="Z50" s="874"/>
      <c r="AA50" s="874"/>
      <c r="AD50" s="526"/>
      <c r="AE50" s="526"/>
      <c r="AF50" s="526"/>
      <c r="AG50" s="526"/>
      <c r="AH50" s="526"/>
      <c r="AI50" s="526"/>
      <c r="AJ50" s="526"/>
      <c r="AK50" s="526"/>
      <c r="AL50" s="526"/>
      <c r="AM50" s="526"/>
      <c r="AN50" s="526"/>
      <c r="AO50" s="526"/>
      <c r="AP50" s="526"/>
      <c r="AQ50" s="526"/>
      <c r="AR50" s="526"/>
      <c r="AS50" s="526"/>
      <c r="AT50" s="526"/>
      <c r="AU50" s="526"/>
      <c r="AV50" s="526"/>
      <c r="AW50" s="526"/>
      <c r="AX50" s="526"/>
      <c r="AY50" s="526"/>
      <c r="AZ50" s="526"/>
      <c r="BA50" s="526"/>
      <c r="BB50" s="526"/>
      <c r="BC50" s="526"/>
      <c r="BD50" s="526"/>
      <c r="BE50" s="526"/>
      <c r="BF50" s="526"/>
      <c r="BG50" s="526"/>
    </row>
    <row r="51" spans="1:59" s="830" customFormat="1" ht="17.25" customHeight="1" x14ac:dyDescent="0.25">
      <c r="A51" s="865"/>
      <c r="B51" s="865"/>
      <c r="C51" s="908"/>
      <c r="G51" s="865"/>
      <c r="H51" s="874"/>
      <c r="I51" s="869"/>
      <c r="J51" s="869"/>
      <c r="K51" s="869"/>
      <c r="L51" s="869"/>
      <c r="M51" s="874"/>
      <c r="O51" s="874"/>
      <c r="P51" s="874"/>
      <c r="Q51" s="874"/>
      <c r="R51" s="874"/>
      <c r="S51" s="874"/>
      <c r="T51" s="874"/>
      <c r="W51" s="874"/>
      <c r="X51" s="874"/>
      <c r="Y51" s="874"/>
      <c r="Z51" s="874"/>
      <c r="AA51" s="874"/>
      <c r="AD51" s="526"/>
      <c r="AE51" s="526"/>
      <c r="AF51" s="526"/>
      <c r="AG51" s="526"/>
      <c r="AH51" s="526"/>
      <c r="AI51" s="526"/>
      <c r="AJ51" s="526"/>
      <c r="AK51" s="526"/>
      <c r="AL51" s="526"/>
      <c r="AM51" s="526"/>
      <c r="AN51" s="526"/>
      <c r="AO51" s="526"/>
      <c r="AP51" s="526"/>
      <c r="AQ51" s="526"/>
      <c r="AR51" s="526"/>
      <c r="AS51" s="526"/>
      <c r="AT51" s="526"/>
      <c r="AU51" s="526"/>
      <c r="AV51" s="526"/>
      <c r="AW51" s="526"/>
      <c r="AX51" s="526"/>
      <c r="AY51" s="526"/>
      <c r="AZ51" s="526"/>
      <c r="BA51" s="526"/>
      <c r="BB51" s="526"/>
      <c r="BC51" s="526"/>
      <c r="BD51" s="526"/>
      <c r="BE51" s="526"/>
      <c r="BF51" s="526"/>
      <c r="BG51" s="526"/>
    </row>
    <row r="52" spans="1:59" s="830" customFormat="1" ht="17.25" customHeight="1" x14ac:dyDescent="0.25">
      <c r="A52" s="865"/>
      <c r="B52" s="865"/>
      <c r="C52" s="908"/>
      <c r="G52" s="865"/>
      <c r="H52" s="874"/>
      <c r="I52" s="869"/>
      <c r="J52" s="869"/>
      <c r="K52" s="869"/>
      <c r="L52" s="869"/>
      <c r="M52" s="874"/>
      <c r="O52" s="874"/>
      <c r="P52" s="874"/>
      <c r="Q52" s="874"/>
      <c r="R52" s="874"/>
      <c r="S52" s="874"/>
      <c r="T52" s="874"/>
      <c r="W52" s="874"/>
      <c r="X52" s="874"/>
      <c r="Y52" s="874"/>
      <c r="Z52" s="874"/>
      <c r="AA52" s="874"/>
      <c r="AD52" s="526"/>
      <c r="AE52" s="526"/>
      <c r="AF52" s="526"/>
      <c r="AG52" s="526"/>
      <c r="AH52" s="526"/>
      <c r="AI52" s="526"/>
      <c r="AJ52" s="526"/>
      <c r="AK52" s="526"/>
      <c r="AL52" s="526"/>
      <c r="AM52" s="526"/>
      <c r="AN52" s="526"/>
      <c r="AO52" s="526"/>
      <c r="AP52" s="526"/>
      <c r="AQ52" s="526"/>
      <c r="AR52" s="526"/>
      <c r="AS52" s="526"/>
      <c r="AT52" s="526"/>
      <c r="AU52" s="526"/>
      <c r="AV52" s="526"/>
      <c r="AW52" s="526"/>
      <c r="AX52" s="526"/>
      <c r="AY52" s="526"/>
      <c r="AZ52" s="526"/>
      <c r="BA52" s="526"/>
      <c r="BB52" s="526"/>
      <c r="BC52" s="526"/>
      <c r="BD52" s="526"/>
      <c r="BE52" s="526"/>
      <c r="BF52" s="526"/>
      <c r="BG52" s="526"/>
    </row>
    <row r="53" spans="1:59" s="830" customFormat="1" ht="17.25" customHeight="1" x14ac:dyDescent="0.25">
      <c r="A53" s="865"/>
      <c r="B53" s="865"/>
      <c r="C53" s="908"/>
      <c r="G53" s="865"/>
      <c r="H53" s="874"/>
      <c r="I53" s="869"/>
      <c r="J53" s="869"/>
      <c r="K53" s="869"/>
      <c r="L53" s="869"/>
      <c r="M53" s="874"/>
      <c r="O53" s="874"/>
      <c r="P53" s="874"/>
      <c r="Q53" s="874"/>
      <c r="R53" s="874"/>
      <c r="S53" s="874"/>
      <c r="T53" s="874"/>
      <c r="W53" s="874"/>
      <c r="X53" s="874"/>
      <c r="Y53" s="874"/>
      <c r="Z53" s="874"/>
      <c r="AA53" s="874"/>
      <c r="AD53" s="526"/>
      <c r="AE53" s="526"/>
      <c r="AF53" s="526"/>
      <c r="AG53" s="526"/>
      <c r="AH53" s="526"/>
      <c r="AI53" s="526"/>
      <c r="AJ53" s="526"/>
      <c r="AK53" s="526"/>
      <c r="AL53" s="526"/>
      <c r="AM53" s="526"/>
      <c r="AN53" s="526"/>
      <c r="AO53" s="526"/>
      <c r="AP53" s="526"/>
      <c r="AQ53" s="526"/>
      <c r="AR53" s="526"/>
      <c r="AS53" s="526"/>
      <c r="AT53" s="526"/>
      <c r="AU53" s="526"/>
      <c r="AV53" s="526"/>
      <c r="AW53" s="526"/>
      <c r="AX53" s="526"/>
      <c r="AY53" s="526"/>
      <c r="AZ53" s="526"/>
      <c r="BA53" s="526"/>
      <c r="BB53" s="526"/>
      <c r="BC53" s="526"/>
      <c r="BD53" s="526"/>
      <c r="BE53" s="526"/>
      <c r="BF53" s="526"/>
      <c r="BG53" s="526"/>
    </row>
    <row r="54" spans="1:59" s="830" customFormat="1" ht="17.25" customHeight="1" x14ac:dyDescent="0.25">
      <c r="A54" s="865"/>
      <c r="B54" s="865"/>
      <c r="C54" s="908"/>
      <c r="G54" s="865"/>
      <c r="H54" s="874"/>
      <c r="I54" s="869"/>
      <c r="J54" s="869"/>
      <c r="K54" s="869"/>
      <c r="L54" s="869"/>
      <c r="M54" s="874"/>
      <c r="O54" s="874"/>
      <c r="P54" s="874"/>
      <c r="Q54" s="874"/>
      <c r="R54" s="874"/>
      <c r="S54" s="874"/>
      <c r="T54" s="874"/>
      <c r="W54" s="874"/>
      <c r="X54" s="874"/>
      <c r="Y54" s="874"/>
      <c r="Z54" s="874"/>
      <c r="AA54" s="874"/>
      <c r="AD54" s="526"/>
      <c r="AE54" s="526"/>
      <c r="AF54" s="526"/>
      <c r="AG54" s="526"/>
      <c r="AH54" s="526"/>
      <c r="AI54" s="526"/>
      <c r="AJ54" s="526"/>
      <c r="AK54" s="526"/>
      <c r="AL54" s="526"/>
      <c r="AM54" s="526"/>
      <c r="AN54" s="526"/>
      <c r="AO54" s="526"/>
      <c r="AP54" s="526"/>
      <c r="AQ54" s="526"/>
      <c r="AR54" s="526"/>
      <c r="AS54" s="526"/>
      <c r="AT54" s="526"/>
      <c r="AU54" s="526"/>
      <c r="AV54" s="526"/>
      <c r="AW54" s="526"/>
      <c r="AX54" s="526"/>
      <c r="AY54" s="526"/>
      <c r="AZ54" s="526"/>
      <c r="BA54" s="526"/>
      <c r="BB54" s="526"/>
      <c r="BC54" s="526"/>
      <c r="BD54" s="526"/>
      <c r="BE54" s="526"/>
      <c r="BF54" s="526"/>
      <c r="BG54" s="526"/>
    </row>
    <row r="55" spans="1:59" s="830" customFormat="1" ht="17.25" customHeight="1" x14ac:dyDescent="0.25">
      <c r="A55" s="865"/>
      <c r="B55" s="865"/>
      <c r="C55" s="908"/>
      <c r="G55" s="865"/>
      <c r="H55" s="874"/>
      <c r="I55" s="869"/>
      <c r="J55" s="869"/>
      <c r="K55" s="869"/>
      <c r="L55" s="869"/>
      <c r="M55" s="874"/>
      <c r="O55" s="874"/>
      <c r="P55" s="874"/>
      <c r="Q55" s="874"/>
      <c r="R55" s="874"/>
      <c r="S55" s="874"/>
      <c r="T55" s="874"/>
      <c r="W55" s="874"/>
      <c r="X55" s="874"/>
      <c r="Y55" s="874"/>
      <c r="Z55" s="874"/>
      <c r="AA55" s="874"/>
      <c r="AD55" s="526"/>
      <c r="AE55" s="526"/>
      <c r="AF55" s="526"/>
      <c r="AG55" s="526"/>
      <c r="AH55" s="526"/>
      <c r="AI55" s="526"/>
      <c r="AJ55" s="526"/>
      <c r="AK55" s="526"/>
      <c r="AL55" s="526"/>
      <c r="AM55" s="526"/>
      <c r="AN55" s="526"/>
      <c r="AO55" s="526"/>
      <c r="AP55" s="526"/>
      <c r="AQ55" s="526"/>
      <c r="AR55" s="526"/>
      <c r="AS55" s="526"/>
      <c r="AT55" s="526"/>
      <c r="AU55" s="526"/>
      <c r="AV55" s="526"/>
      <c r="AW55" s="526"/>
      <c r="AX55" s="526"/>
      <c r="AY55" s="526"/>
      <c r="AZ55" s="526"/>
      <c r="BA55" s="526"/>
      <c r="BB55" s="526"/>
      <c r="BC55" s="526"/>
      <c r="BD55" s="526"/>
      <c r="BE55" s="526"/>
      <c r="BF55" s="526"/>
      <c r="BG55" s="526"/>
    </row>
    <row r="56" spans="1:59" s="830" customFormat="1" ht="17.25" customHeight="1" x14ac:dyDescent="0.25">
      <c r="A56" s="865"/>
      <c r="B56" s="865"/>
      <c r="C56" s="908"/>
      <c r="G56" s="865"/>
      <c r="H56" s="874"/>
      <c r="I56" s="869"/>
      <c r="J56" s="869"/>
      <c r="K56" s="869"/>
      <c r="L56" s="869"/>
      <c r="M56" s="874"/>
      <c r="O56" s="874"/>
      <c r="P56" s="874"/>
      <c r="Q56" s="874"/>
      <c r="R56" s="874"/>
      <c r="S56" s="874"/>
      <c r="T56" s="874"/>
      <c r="W56" s="874"/>
      <c r="X56" s="874"/>
      <c r="Y56" s="874"/>
      <c r="Z56" s="874"/>
      <c r="AA56" s="874"/>
      <c r="AD56" s="526"/>
      <c r="AE56" s="526"/>
      <c r="AF56" s="526"/>
      <c r="AG56" s="526"/>
      <c r="AH56" s="526"/>
      <c r="AI56" s="526"/>
      <c r="AJ56" s="526"/>
      <c r="AK56" s="526"/>
      <c r="AL56" s="526"/>
      <c r="AM56" s="526"/>
      <c r="AN56" s="526"/>
      <c r="AO56" s="526"/>
      <c r="AP56" s="526"/>
      <c r="AQ56" s="526"/>
      <c r="AR56" s="526"/>
      <c r="AS56" s="526"/>
      <c r="AT56" s="526"/>
      <c r="AU56" s="526"/>
      <c r="AV56" s="526"/>
      <c r="AW56" s="526"/>
      <c r="AX56" s="526"/>
      <c r="AY56" s="526"/>
      <c r="AZ56" s="526"/>
      <c r="BA56" s="526"/>
      <c r="BB56" s="526"/>
      <c r="BC56" s="526"/>
      <c r="BD56" s="526"/>
      <c r="BE56" s="526"/>
      <c r="BF56" s="526"/>
      <c r="BG56" s="526"/>
    </row>
    <row r="57" spans="1:59" s="830" customFormat="1" ht="17.25" customHeight="1" x14ac:dyDescent="0.25">
      <c r="A57" s="865"/>
      <c r="B57" s="865"/>
      <c r="C57" s="908"/>
      <c r="G57" s="865"/>
      <c r="H57" s="874"/>
      <c r="I57" s="869"/>
      <c r="J57" s="869"/>
      <c r="K57" s="869"/>
      <c r="L57" s="869"/>
      <c r="M57" s="874"/>
      <c r="O57" s="874"/>
      <c r="P57" s="874"/>
      <c r="Q57" s="874"/>
      <c r="R57" s="874"/>
      <c r="S57" s="874"/>
      <c r="T57" s="874"/>
      <c r="W57" s="874"/>
      <c r="X57" s="874"/>
      <c r="Y57" s="874"/>
      <c r="Z57" s="874"/>
      <c r="AA57" s="874"/>
      <c r="AD57" s="526"/>
      <c r="AE57" s="526"/>
      <c r="AF57" s="526"/>
      <c r="AG57" s="526"/>
      <c r="AH57" s="526"/>
      <c r="AI57" s="526"/>
      <c r="AJ57" s="526"/>
      <c r="AK57" s="526"/>
      <c r="AL57" s="526"/>
      <c r="AM57" s="526"/>
      <c r="AN57" s="526"/>
      <c r="AO57" s="526"/>
      <c r="AP57" s="526"/>
      <c r="AQ57" s="526"/>
      <c r="AR57" s="526"/>
      <c r="AS57" s="526"/>
      <c r="AT57" s="526"/>
      <c r="AU57" s="526"/>
      <c r="AV57" s="526"/>
      <c r="AW57" s="526"/>
      <c r="AX57" s="526"/>
      <c r="AY57" s="526"/>
      <c r="AZ57" s="526"/>
      <c r="BA57" s="526"/>
      <c r="BB57" s="526"/>
      <c r="BC57" s="526"/>
      <c r="BD57" s="526"/>
      <c r="BE57" s="526"/>
      <c r="BF57" s="526"/>
      <c r="BG57" s="526"/>
    </row>
    <row r="58" spans="1:59" s="830" customFormat="1" ht="17.25" customHeight="1" x14ac:dyDescent="0.25">
      <c r="A58" s="865"/>
      <c r="B58" s="865"/>
      <c r="C58" s="908"/>
      <c r="G58" s="865"/>
      <c r="H58" s="874"/>
      <c r="I58" s="869"/>
      <c r="J58" s="869"/>
      <c r="K58" s="869"/>
      <c r="L58" s="869"/>
      <c r="M58" s="874"/>
      <c r="O58" s="874"/>
      <c r="P58" s="874"/>
      <c r="Q58" s="874"/>
      <c r="R58" s="874"/>
      <c r="S58" s="874"/>
      <c r="T58" s="874"/>
      <c r="W58" s="874"/>
      <c r="X58" s="874"/>
      <c r="Y58" s="874"/>
      <c r="Z58" s="874"/>
      <c r="AA58" s="874"/>
      <c r="AD58" s="526"/>
      <c r="AE58" s="526"/>
      <c r="AF58" s="526"/>
      <c r="AG58" s="526"/>
      <c r="AH58" s="526"/>
      <c r="AI58" s="526"/>
      <c r="AJ58" s="526"/>
      <c r="AK58" s="526"/>
      <c r="AL58" s="526"/>
      <c r="AM58" s="526"/>
      <c r="AN58" s="526"/>
      <c r="AO58" s="526"/>
      <c r="AP58" s="526"/>
      <c r="AQ58" s="526"/>
      <c r="AR58" s="526"/>
      <c r="AS58" s="526"/>
      <c r="AT58" s="526"/>
      <c r="AU58" s="526"/>
      <c r="AV58" s="526"/>
      <c r="AW58" s="526"/>
      <c r="AX58" s="526"/>
      <c r="AY58" s="526"/>
      <c r="AZ58" s="526"/>
      <c r="BA58" s="526"/>
      <c r="BB58" s="526"/>
      <c r="BC58" s="526"/>
      <c r="BD58" s="526"/>
      <c r="BE58" s="526"/>
      <c r="BF58" s="526"/>
      <c r="BG58" s="526"/>
    </row>
    <row r="59" spans="1:59" s="830" customFormat="1" ht="17.25" customHeight="1" x14ac:dyDescent="0.25">
      <c r="A59" s="865"/>
      <c r="B59" s="865"/>
      <c r="C59" s="908"/>
      <c r="G59" s="865"/>
      <c r="H59" s="874"/>
      <c r="I59" s="869"/>
      <c r="J59" s="869"/>
      <c r="K59" s="869"/>
      <c r="L59" s="869"/>
      <c r="M59" s="874"/>
      <c r="O59" s="874"/>
      <c r="P59" s="874"/>
      <c r="Q59" s="874"/>
      <c r="R59" s="874"/>
      <c r="S59" s="874"/>
      <c r="T59" s="874"/>
      <c r="W59" s="874"/>
      <c r="X59" s="874"/>
      <c r="Y59" s="874"/>
      <c r="Z59" s="874"/>
      <c r="AA59" s="874"/>
      <c r="AD59" s="526"/>
      <c r="AE59" s="526"/>
      <c r="AF59" s="526"/>
      <c r="AG59" s="526"/>
      <c r="AH59" s="526"/>
      <c r="AI59" s="526"/>
      <c r="AJ59" s="526"/>
      <c r="AK59" s="526"/>
      <c r="AL59" s="526"/>
      <c r="AM59" s="526"/>
      <c r="AN59" s="526"/>
      <c r="AO59" s="526"/>
      <c r="AP59" s="526"/>
      <c r="AQ59" s="526"/>
      <c r="AR59" s="526"/>
      <c r="AS59" s="526"/>
      <c r="AT59" s="526"/>
      <c r="AU59" s="526"/>
      <c r="AV59" s="526"/>
      <c r="AW59" s="526"/>
      <c r="AX59" s="526"/>
      <c r="AY59" s="526"/>
      <c r="AZ59" s="526"/>
      <c r="BA59" s="526"/>
      <c r="BB59" s="526"/>
      <c r="BC59" s="526"/>
      <c r="BD59" s="526"/>
      <c r="BE59" s="526"/>
      <c r="BF59" s="526"/>
      <c r="BG59" s="526"/>
    </row>
    <row r="60" spans="1:59" s="830" customFormat="1" ht="17.25" customHeight="1" x14ac:dyDescent="0.25">
      <c r="A60" s="865"/>
      <c r="B60" s="865"/>
      <c r="C60" s="908"/>
      <c r="G60" s="865"/>
      <c r="H60" s="874"/>
      <c r="I60" s="869"/>
      <c r="J60" s="869"/>
      <c r="K60" s="869"/>
      <c r="L60" s="869"/>
      <c r="M60" s="874"/>
      <c r="O60" s="874"/>
      <c r="P60" s="874"/>
      <c r="Q60" s="874"/>
      <c r="R60" s="874"/>
      <c r="S60" s="874"/>
      <c r="T60" s="874"/>
      <c r="W60" s="874"/>
      <c r="X60" s="874"/>
      <c r="Y60" s="874"/>
      <c r="Z60" s="874"/>
      <c r="AA60" s="874"/>
      <c r="AD60" s="526"/>
      <c r="AE60" s="526"/>
      <c r="AF60" s="526"/>
      <c r="AG60" s="526"/>
      <c r="AH60" s="526"/>
      <c r="AI60" s="526"/>
      <c r="AJ60" s="526"/>
      <c r="AK60" s="526"/>
      <c r="AL60" s="526"/>
      <c r="AM60" s="526"/>
      <c r="AN60" s="526"/>
      <c r="AO60" s="526"/>
      <c r="AP60" s="526"/>
      <c r="AQ60" s="526"/>
      <c r="AR60" s="526"/>
      <c r="AS60" s="526"/>
      <c r="AT60" s="526"/>
      <c r="AU60" s="526"/>
      <c r="AV60" s="526"/>
      <c r="AW60" s="526"/>
      <c r="AX60" s="526"/>
      <c r="AY60" s="526"/>
      <c r="AZ60" s="526"/>
      <c r="BA60" s="526"/>
      <c r="BB60" s="526"/>
      <c r="BC60" s="526"/>
      <c r="BD60" s="526"/>
      <c r="BE60" s="526"/>
      <c r="BF60" s="526"/>
      <c r="BG60" s="526"/>
    </row>
    <row r="61" spans="1:59" s="830" customFormat="1" ht="17.25" customHeight="1" x14ac:dyDescent="0.25">
      <c r="A61" s="865"/>
      <c r="B61" s="865"/>
      <c r="C61" s="908"/>
      <c r="G61" s="865"/>
      <c r="H61" s="874"/>
      <c r="I61" s="869"/>
      <c r="J61" s="869"/>
      <c r="K61" s="869"/>
      <c r="L61" s="869"/>
      <c r="M61" s="874"/>
      <c r="O61" s="874"/>
      <c r="P61" s="874"/>
      <c r="Q61" s="874"/>
      <c r="R61" s="874"/>
      <c r="S61" s="874"/>
      <c r="T61" s="874"/>
      <c r="W61" s="874"/>
      <c r="X61" s="874"/>
      <c r="Y61" s="874"/>
      <c r="Z61" s="874"/>
      <c r="AA61" s="874"/>
      <c r="AD61" s="526"/>
      <c r="AE61" s="526"/>
      <c r="AF61" s="526"/>
      <c r="AG61" s="526"/>
      <c r="AH61" s="526"/>
      <c r="AI61" s="526"/>
      <c r="AJ61" s="526"/>
      <c r="AK61" s="526"/>
      <c r="AL61" s="526"/>
      <c r="AM61" s="526"/>
      <c r="AN61" s="526"/>
      <c r="AO61" s="526"/>
      <c r="AP61" s="526"/>
      <c r="AQ61" s="526"/>
      <c r="AR61" s="526"/>
      <c r="AS61" s="526"/>
      <c r="AT61" s="526"/>
      <c r="AU61" s="526"/>
      <c r="AV61" s="526"/>
      <c r="AW61" s="526"/>
      <c r="AX61" s="526"/>
      <c r="AY61" s="526"/>
      <c r="AZ61" s="526"/>
      <c r="BA61" s="526"/>
      <c r="BB61" s="526"/>
      <c r="BC61" s="526"/>
      <c r="BD61" s="526"/>
      <c r="BE61" s="526"/>
      <c r="BF61" s="526"/>
      <c r="BG61" s="526"/>
    </row>
    <row r="62" spans="1:59" s="830" customFormat="1" ht="17.25" customHeight="1" x14ac:dyDescent="0.25">
      <c r="A62" s="865"/>
      <c r="B62" s="865"/>
      <c r="C62" s="908"/>
      <c r="G62" s="865"/>
      <c r="H62" s="874"/>
      <c r="I62" s="869"/>
      <c r="J62" s="869"/>
      <c r="K62" s="869"/>
      <c r="L62" s="869"/>
      <c r="M62" s="874"/>
      <c r="O62" s="874"/>
      <c r="P62" s="874"/>
      <c r="Q62" s="874"/>
      <c r="R62" s="874"/>
      <c r="S62" s="874"/>
      <c r="T62" s="874"/>
      <c r="W62" s="874"/>
      <c r="X62" s="874"/>
      <c r="Y62" s="874"/>
      <c r="Z62" s="874"/>
      <c r="AA62" s="874"/>
      <c r="AD62" s="526"/>
      <c r="AE62" s="526"/>
      <c r="AF62" s="526"/>
      <c r="AG62" s="526"/>
      <c r="AH62" s="526"/>
      <c r="AI62" s="526"/>
      <c r="AJ62" s="526"/>
      <c r="AK62" s="526"/>
      <c r="AL62" s="526"/>
      <c r="AM62" s="526"/>
      <c r="AN62" s="526"/>
      <c r="AO62" s="526"/>
      <c r="AP62" s="526"/>
      <c r="AQ62" s="526"/>
      <c r="AR62" s="526"/>
      <c r="AS62" s="526"/>
      <c r="AT62" s="526"/>
      <c r="AU62" s="526"/>
      <c r="AV62" s="526"/>
      <c r="AW62" s="526"/>
      <c r="AX62" s="526"/>
      <c r="AY62" s="526"/>
      <c r="AZ62" s="526"/>
      <c r="BA62" s="526"/>
      <c r="BB62" s="526"/>
      <c r="BC62" s="526"/>
      <c r="BD62" s="526"/>
      <c r="BE62" s="526"/>
      <c r="BF62" s="526"/>
      <c r="BG62" s="526"/>
    </row>
    <row r="63" spans="1:59" s="830" customFormat="1" ht="17.25" customHeight="1" x14ac:dyDescent="0.25">
      <c r="A63" s="865"/>
      <c r="B63" s="865"/>
      <c r="C63" s="908"/>
      <c r="G63" s="865"/>
      <c r="H63" s="874"/>
      <c r="I63" s="869"/>
      <c r="J63" s="869"/>
      <c r="K63" s="869"/>
      <c r="L63" s="869"/>
      <c r="M63" s="874"/>
      <c r="O63" s="874"/>
      <c r="P63" s="874"/>
      <c r="Q63" s="874"/>
      <c r="R63" s="874"/>
      <c r="S63" s="874"/>
      <c r="T63" s="874"/>
      <c r="W63" s="874"/>
      <c r="X63" s="874"/>
      <c r="Y63" s="874"/>
      <c r="Z63" s="874"/>
      <c r="AA63" s="874"/>
      <c r="AD63" s="526"/>
      <c r="AE63" s="526"/>
      <c r="AF63" s="526"/>
      <c r="AG63" s="526"/>
      <c r="AH63" s="526"/>
      <c r="AI63" s="526"/>
      <c r="AJ63" s="526"/>
      <c r="AK63" s="526"/>
      <c r="AL63" s="526"/>
      <c r="AM63" s="526"/>
      <c r="AN63" s="526"/>
      <c r="AO63" s="526"/>
      <c r="AP63" s="526"/>
      <c r="AQ63" s="526"/>
      <c r="AR63" s="526"/>
      <c r="AS63" s="526"/>
      <c r="AT63" s="526"/>
      <c r="AU63" s="526"/>
      <c r="AV63" s="526"/>
      <c r="AW63" s="526"/>
      <c r="AX63" s="526"/>
      <c r="AY63" s="526"/>
      <c r="AZ63" s="526"/>
      <c r="BA63" s="526"/>
      <c r="BB63" s="526"/>
      <c r="BC63" s="526"/>
      <c r="BD63" s="526"/>
      <c r="BE63" s="526"/>
      <c r="BF63" s="526"/>
      <c r="BG63" s="526"/>
    </row>
    <row r="64" spans="1:59" s="830" customFormat="1" ht="17.25" customHeight="1" x14ac:dyDescent="0.25">
      <c r="A64" s="865"/>
      <c r="B64" s="865"/>
      <c r="C64" s="908"/>
      <c r="G64" s="865"/>
      <c r="H64" s="874"/>
      <c r="I64" s="869"/>
      <c r="J64" s="869"/>
      <c r="K64" s="869"/>
      <c r="L64" s="869"/>
      <c r="M64" s="874"/>
      <c r="O64" s="874"/>
      <c r="P64" s="874"/>
      <c r="Q64" s="874"/>
      <c r="R64" s="874"/>
      <c r="S64" s="874"/>
      <c r="T64" s="874"/>
      <c r="W64" s="874"/>
      <c r="X64" s="874"/>
      <c r="Y64" s="874"/>
      <c r="Z64" s="874"/>
      <c r="AA64" s="874"/>
      <c r="AD64" s="526"/>
      <c r="AE64" s="526"/>
      <c r="AF64" s="526"/>
      <c r="AG64" s="526"/>
      <c r="AH64" s="526"/>
      <c r="AI64" s="526"/>
      <c r="AJ64" s="526"/>
      <c r="AK64" s="526"/>
      <c r="AL64" s="526"/>
      <c r="AM64" s="526"/>
      <c r="AN64" s="526"/>
      <c r="AO64" s="526"/>
      <c r="AP64" s="526"/>
      <c r="AQ64" s="526"/>
      <c r="AR64" s="526"/>
      <c r="AS64" s="526"/>
      <c r="AT64" s="526"/>
      <c r="AU64" s="526"/>
      <c r="AV64" s="526"/>
      <c r="AW64" s="526"/>
      <c r="AX64" s="526"/>
      <c r="AY64" s="526"/>
      <c r="AZ64" s="526"/>
      <c r="BA64" s="526"/>
      <c r="BB64" s="526"/>
      <c r="BC64" s="526"/>
      <c r="BD64" s="526"/>
      <c r="BE64" s="526"/>
      <c r="BF64" s="526"/>
      <c r="BG64" s="526"/>
    </row>
    <row r="65" spans="1:59" s="830" customFormat="1" ht="17.25" customHeight="1" x14ac:dyDescent="0.25">
      <c r="A65" s="865"/>
      <c r="B65" s="865"/>
      <c r="C65" s="908"/>
      <c r="G65" s="865"/>
      <c r="H65" s="874"/>
      <c r="I65" s="869"/>
      <c r="J65" s="869"/>
      <c r="K65" s="869"/>
      <c r="L65" s="869"/>
      <c r="M65" s="874"/>
      <c r="O65" s="874"/>
      <c r="P65" s="874"/>
      <c r="Q65" s="874"/>
      <c r="R65" s="874"/>
      <c r="S65" s="874"/>
      <c r="T65" s="874"/>
      <c r="W65" s="874"/>
      <c r="X65" s="874"/>
      <c r="Y65" s="874"/>
      <c r="Z65" s="874"/>
      <c r="AA65" s="874"/>
      <c r="AD65" s="526"/>
      <c r="AE65" s="526"/>
      <c r="AF65" s="526"/>
      <c r="AG65" s="526"/>
      <c r="AH65" s="526"/>
      <c r="AI65" s="526"/>
      <c r="AJ65" s="526"/>
      <c r="AK65" s="526"/>
      <c r="AL65" s="526"/>
      <c r="AM65" s="526"/>
      <c r="AN65" s="526"/>
      <c r="AO65" s="526"/>
      <c r="AP65" s="526"/>
      <c r="AQ65" s="526"/>
      <c r="AR65" s="526"/>
      <c r="AS65" s="526"/>
      <c r="AT65" s="526"/>
      <c r="AU65" s="526"/>
      <c r="AV65" s="526"/>
      <c r="AW65" s="526"/>
      <c r="AX65" s="526"/>
      <c r="AY65" s="526"/>
      <c r="AZ65" s="526"/>
      <c r="BA65" s="526"/>
      <c r="BB65" s="526"/>
      <c r="BC65" s="526"/>
      <c r="BD65" s="526"/>
      <c r="BE65" s="526"/>
      <c r="BF65" s="526"/>
      <c r="BG65" s="526"/>
    </row>
    <row r="66" spans="1:59" s="830" customFormat="1" ht="17.25" customHeight="1" x14ac:dyDescent="0.25">
      <c r="A66" s="865"/>
      <c r="B66" s="865"/>
      <c r="C66" s="908"/>
      <c r="G66" s="865"/>
      <c r="H66" s="874"/>
      <c r="I66" s="869"/>
      <c r="J66" s="869"/>
      <c r="K66" s="869"/>
      <c r="L66" s="869"/>
      <c r="M66" s="874"/>
      <c r="O66" s="874"/>
      <c r="P66" s="874"/>
      <c r="Q66" s="874"/>
      <c r="R66" s="874"/>
      <c r="S66" s="874"/>
      <c r="T66" s="874"/>
      <c r="W66" s="874"/>
      <c r="X66" s="874"/>
      <c r="Y66" s="874"/>
      <c r="Z66" s="874"/>
      <c r="AA66" s="874"/>
      <c r="AD66" s="526"/>
      <c r="AE66" s="526"/>
      <c r="AF66" s="526"/>
      <c r="AG66" s="526"/>
      <c r="AH66" s="526"/>
      <c r="AI66" s="526"/>
      <c r="AJ66" s="526"/>
      <c r="AK66" s="526"/>
      <c r="AL66" s="526"/>
      <c r="AM66" s="526"/>
      <c r="AN66" s="526"/>
      <c r="AO66" s="526"/>
      <c r="AP66" s="526"/>
      <c r="AQ66" s="526"/>
      <c r="AR66" s="526"/>
      <c r="AS66" s="526"/>
      <c r="AT66" s="526"/>
      <c r="AU66" s="526"/>
      <c r="AV66" s="526"/>
      <c r="AW66" s="526"/>
      <c r="AX66" s="526"/>
      <c r="AY66" s="526"/>
      <c r="AZ66" s="526"/>
      <c r="BA66" s="526"/>
      <c r="BB66" s="526"/>
      <c r="BC66" s="526"/>
      <c r="BD66" s="526"/>
      <c r="BE66" s="526"/>
      <c r="BF66" s="526"/>
      <c r="BG66" s="526"/>
    </row>
    <row r="67" spans="1:59" s="830" customFormat="1" ht="17.25" customHeight="1" x14ac:dyDescent="0.25">
      <c r="A67" s="865"/>
      <c r="B67" s="865"/>
      <c r="C67" s="908"/>
      <c r="G67" s="865"/>
      <c r="H67" s="874"/>
      <c r="I67" s="869"/>
      <c r="J67" s="869"/>
      <c r="K67" s="869"/>
      <c r="L67" s="869"/>
      <c r="M67" s="874"/>
      <c r="O67" s="874"/>
      <c r="P67" s="874"/>
      <c r="Q67" s="874"/>
      <c r="R67" s="874"/>
      <c r="S67" s="874"/>
      <c r="T67" s="874"/>
      <c r="W67" s="874"/>
      <c r="X67" s="874"/>
      <c r="Y67" s="874"/>
      <c r="Z67" s="874"/>
      <c r="AA67" s="874"/>
      <c r="AD67" s="526"/>
      <c r="AE67" s="526"/>
      <c r="AF67" s="526"/>
      <c r="AG67" s="526"/>
      <c r="AH67" s="526"/>
      <c r="AI67" s="526"/>
      <c r="AJ67" s="526"/>
      <c r="AK67" s="526"/>
      <c r="AL67" s="526"/>
      <c r="AM67" s="526"/>
      <c r="AN67" s="526"/>
      <c r="AO67" s="526"/>
      <c r="AP67" s="526"/>
      <c r="AQ67" s="526"/>
      <c r="AR67" s="526"/>
      <c r="AS67" s="526"/>
      <c r="AT67" s="526"/>
      <c r="AU67" s="526"/>
      <c r="AV67" s="526"/>
      <c r="AW67" s="526"/>
      <c r="AX67" s="526"/>
      <c r="AY67" s="526"/>
      <c r="AZ67" s="526"/>
      <c r="BA67" s="526"/>
      <c r="BB67" s="526"/>
      <c r="BC67" s="526"/>
      <c r="BD67" s="526"/>
      <c r="BE67" s="526"/>
      <c r="BF67" s="526"/>
      <c r="BG67" s="526"/>
    </row>
    <row r="68" spans="1:59" s="830" customFormat="1" ht="17.25" customHeight="1" x14ac:dyDescent="0.25">
      <c r="A68" s="865"/>
      <c r="B68" s="865"/>
      <c r="C68" s="908"/>
      <c r="G68" s="865"/>
      <c r="H68" s="874"/>
      <c r="I68" s="869"/>
      <c r="J68" s="869"/>
      <c r="K68" s="869"/>
      <c r="L68" s="869"/>
      <c r="M68" s="874"/>
      <c r="O68" s="874"/>
      <c r="P68" s="874"/>
      <c r="Q68" s="874"/>
      <c r="R68" s="874"/>
      <c r="S68" s="874"/>
      <c r="T68" s="874"/>
      <c r="W68" s="874"/>
      <c r="X68" s="874"/>
      <c r="Y68" s="874"/>
      <c r="Z68" s="874"/>
      <c r="AA68" s="874"/>
      <c r="AD68" s="526"/>
      <c r="AE68" s="526"/>
      <c r="AF68" s="526"/>
      <c r="AG68" s="526"/>
      <c r="AH68" s="526"/>
      <c r="AI68" s="526"/>
      <c r="AJ68" s="526"/>
      <c r="AK68" s="526"/>
      <c r="AL68" s="526"/>
      <c r="AM68" s="526"/>
      <c r="AN68" s="526"/>
      <c r="AO68" s="526"/>
      <c r="AP68" s="526"/>
      <c r="AQ68" s="526"/>
      <c r="AR68" s="526"/>
      <c r="AS68" s="526"/>
      <c r="AT68" s="526"/>
      <c r="AU68" s="526"/>
      <c r="AV68" s="526"/>
      <c r="AW68" s="526"/>
      <c r="AX68" s="526"/>
      <c r="AY68" s="526"/>
      <c r="AZ68" s="526"/>
      <c r="BA68" s="526"/>
      <c r="BB68" s="526"/>
      <c r="BC68" s="526"/>
      <c r="BD68" s="526"/>
      <c r="BE68" s="526"/>
      <c r="BF68" s="526"/>
      <c r="BG68" s="526"/>
    </row>
    <row r="69" spans="1:59" s="830" customFormat="1" ht="17.25" customHeight="1" x14ac:dyDescent="0.25">
      <c r="A69" s="865"/>
      <c r="B69" s="865"/>
      <c r="C69" s="908"/>
      <c r="G69" s="865"/>
      <c r="H69" s="874"/>
      <c r="I69" s="869"/>
      <c r="J69" s="869"/>
      <c r="K69" s="869"/>
      <c r="L69" s="869"/>
      <c r="M69" s="874"/>
      <c r="O69" s="874"/>
      <c r="P69" s="874"/>
      <c r="Q69" s="874"/>
      <c r="R69" s="874"/>
      <c r="S69" s="874"/>
      <c r="T69" s="874"/>
      <c r="W69" s="874"/>
      <c r="X69" s="874"/>
      <c r="Y69" s="874"/>
      <c r="Z69" s="874"/>
      <c r="AA69" s="874"/>
      <c r="AD69" s="526"/>
      <c r="AE69" s="526"/>
      <c r="AF69" s="526"/>
      <c r="AG69" s="526"/>
      <c r="AH69" s="526"/>
      <c r="AI69" s="526"/>
      <c r="AJ69" s="526"/>
      <c r="AK69" s="526"/>
      <c r="AL69" s="526"/>
      <c r="AM69" s="526"/>
      <c r="AN69" s="526"/>
      <c r="AO69" s="526"/>
      <c r="AP69" s="526"/>
      <c r="AQ69" s="526"/>
      <c r="AR69" s="526"/>
      <c r="AS69" s="526"/>
      <c r="AT69" s="526"/>
      <c r="AU69" s="526"/>
      <c r="AV69" s="526"/>
      <c r="AW69" s="526"/>
      <c r="AX69" s="526"/>
      <c r="AY69" s="526"/>
      <c r="AZ69" s="526"/>
      <c r="BA69" s="526"/>
      <c r="BB69" s="526"/>
      <c r="BC69" s="526"/>
      <c r="BD69" s="526"/>
      <c r="BE69" s="526"/>
      <c r="BF69" s="526"/>
      <c r="BG69" s="526"/>
    </row>
    <row r="70" spans="1:59" s="830" customFormat="1" ht="17.25" customHeight="1" x14ac:dyDescent="0.25">
      <c r="A70" s="865"/>
      <c r="B70" s="865"/>
      <c r="C70" s="908"/>
      <c r="G70" s="865"/>
      <c r="H70" s="874"/>
      <c r="I70" s="869"/>
      <c r="J70" s="869"/>
      <c r="K70" s="869"/>
      <c r="L70" s="869"/>
      <c r="M70" s="874"/>
      <c r="O70" s="874"/>
      <c r="P70" s="874"/>
      <c r="Q70" s="874"/>
      <c r="R70" s="874"/>
      <c r="S70" s="874"/>
      <c r="T70" s="874"/>
      <c r="W70" s="874"/>
      <c r="X70" s="874"/>
      <c r="Y70" s="874"/>
      <c r="Z70" s="874"/>
      <c r="AA70" s="874"/>
      <c r="AD70" s="526"/>
      <c r="AE70" s="526"/>
      <c r="AF70" s="526"/>
      <c r="AG70" s="526"/>
      <c r="AH70" s="526"/>
      <c r="AI70" s="526"/>
      <c r="AJ70" s="526"/>
      <c r="AK70" s="526"/>
      <c r="AL70" s="526"/>
      <c r="AM70" s="526"/>
      <c r="AN70" s="526"/>
      <c r="AO70" s="526"/>
      <c r="AP70" s="526"/>
      <c r="AQ70" s="526"/>
      <c r="AR70" s="526"/>
      <c r="AS70" s="526"/>
      <c r="AT70" s="526"/>
      <c r="AU70" s="526"/>
      <c r="AV70" s="526"/>
      <c r="AW70" s="526"/>
      <c r="AX70" s="526"/>
      <c r="AY70" s="526"/>
      <c r="AZ70" s="526"/>
      <c r="BA70" s="526"/>
      <c r="BB70" s="526"/>
      <c r="BC70" s="526"/>
      <c r="BD70" s="526"/>
      <c r="BE70" s="526"/>
      <c r="BF70" s="526"/>
      <c r="BG70" s="526"/>
    </row>
    <row r="71" spans="1:59" s="830" customFormat="1" ht="17.25" customHeight="1" x14ac:dyDescent="0.25">
      <c r="A71" s="865"/>
      <c r="B71" s="865"/>
      <c r="C71" s="908"/>
      <c r="G71" s="865"/>
      <c r="H71" s="874"/>
      <c r="I71" s="869"/>
      <c r="J71" s="869"/>
      <c r="K71" s="869"/>
      <c r="L71" s="869"/>
      <c r="M71" s="874"/>
      <c r="O71" s="874"/>
      <c r="P71" s="874"/>
      <c r="Q71" s="874"/>
      <c r="R71" s="874"/>
      <c r="S71" s="874"/>
      <c r="T71" s="874"/>
      <c r="W71" s="874"/>
      <c r="X71" s="874"/>
      <c r="Y71" s="874"/>
      <c r="Z71" s="874"/>
      <c r="AA71" s="874"/>
      <c r="AD71" s="526"/>
      <c r="AE71" s="526"/>
      <c r="AF71" s="526"/>
      <c r="AG71" s="526"/>
      <c r="AH71" s="526"/>
      <c r="AI71" s="526"/>
      <c r="AJ71" s="526"/>
      <c r="AK71" s="526"/>
      <c r="AL71" s="526"/>
      <c r="AM71" s="526"/>
      <c r="AN71" s="526"/>
      <c r="AO71" s="526"/>
      <c r="AP71" s="526"/>
      <c r="AQ71" s="526"/>
      <c r="AR71" s="526"/>
      <c r="AS71" s="526"/>
      <c r="AT71" s="526"/>
      <c r="AU71" s="526"/>
      <c r="AV71" s="526"/>
      <c r="AW71" s="526"/>
      <c r="AX71" s="526"/>
      <c r="AY71" s="526"/>
      <c r="AZ71" s="526"/>
      <c r="BA71" s="526"/>
      <c r="BB71" s="526"/>
      <c r="BC71" s="526"/>
      <c r="BD71" s="526"/>
      <c r="BE71" s="526"/>
      <c r="BF71" s="526"/>
      <c r="BG71" s="526"/>
    </row>
    <row r="72" spans="1:59" s="830" customFormat="1" ht="17.25" customHeight="1" x14ac:dyDescent="0.25">
      <c r="A72" s="865"/>
      <c r="B72" s="865"/>
      <c r="C72" s="908"/>
      <c r="G72" s="865"/>
      <c r="H72" s="874"/>
      <c r="I72" s="869"/>
      <c r="J72" s="869"/>
      <c r="K72" s="869"/>
      <c r="L72" s="869"/>
      <c r="M72" s="874"/>
      <c r="O72" s="874"/>
      <c r="P72" s="874"/>
      <c r="Q72" s="874"/>
      <c r="R72" s="874"/>
      <c r="S72" s="874"/>
      <c r="T72" s="874"/>
      <c r="W72" s="874"/>
      <c r="X72" s="874"/>
      <c r="Y72" s="874"/>
      <c r="Z72" s="874"/>
      <c r="AA72" s="874"/>
      <c r="AD72" s="526"/>
      <c r="AE72" s="526"/>
      <c r="AF72" s="526"/>
      <c r="AG72" s="526"/>
      <c r="AH72" s="526"/>
      <c r="AI72" s="526"/>
      <c r="AJ72" s="526"/>
      <c r="AK72" s="526"/>
      <c r="AL72" s="526"/>
      <c r="AM72" s="526"/>
      <c r="AN72" s="526"/>
      <c r="AO72" s="526"/>
      <c r="AP72" s="526"/>
      <c r="AQ72" s="526"/>
      <c r="AR72" s="526"/>
      <c r="AS72" s="526"/>
      <c r="AT72" s="526"/>
      <c r="AU72" s="526"/>
      <c r="AV72" s="526"/>
      <c r="AW72" s="526"/>
      <c r="AX72" s="526"/>
      <c r="AY72" s="526"/>
      <c r="AZ72" s="526"/>
      <c r="BA72" s="526"/>
      <c r="BB72" s="526"/>
      <c r="BC72" s="526"/>
      <c r="BD72" s="526"/>
      <c r="BE72" s="526"/>
      <c r="BF72" s="526"/>
      <c r="BG72" s="526"/>
    </row>
    <row r="73" spans="1:59" s="830" customFormat="1" ht="17.25" customHeight="1" x14ac:dyDescent="0.25">
      <c r="A73" s="865"/>
      <c r="B73" s="865"/>
      <c r="C73" s="908"/>
      <c r="G73" s="865"/>
      <c r="H73" s="874"/>
      <c r="I73" s="869"/>
      <c r="J73" s="869"/>
      <c r="K73" s="869"/>
      <c r="L73" s="869"/>
      <c r="M73" s="874"/>
      <c r="O73" s="874"/>
      <c r="P73" s="874"/>
      <c r="Q73" s="874"/>
      <c r="R73" s="874"/>
      <c r="S73" s="874"/>
      <c r="T73" s="874"/>
      <c r="W73" s="874"/>
      <c r="X73" s="874"/>
      <c r="Y73" s="874"/>
      <c r="Z73" s="874"/>
      <c r="AA73" s="874"/>
      <c r="AD73" s="526"/>
      <c r="AE73" s="526"/>
      <c r="AF73" s="526"/>
      <c r="AG73" s="526"/>
      <c r="AH73" s="526"/>
      <c r="AI73" s="526"/>
      <c r="AJ73" s="526"/>
      <c r="AK73" s="526"/>
      <c r="AL73" s="526"/>
      <c r="AM73" s="526"/>
      <c r="AN73" s="526"/>
      <c r="AO73" s="526"/>
      <c r="AP73" s="526"/>
      <c r="AQ73" s="526"/>
      <c r="AR73" s="526"/>
      <c r="AS73" s="526"/>
      <c r="AT73" s="526"/>
      <c r="AU73" s="526"/>
      <c r="AV73" s="526"/>
      <c r="AW73" s="526"/>
      <c r="AX73" s="526"/>
      <c r="AY73" s="526"/>
      <c r="AZ73" s="526"/>
      <c r="BA73" s="526"/>
      <c r="BB73" s="526"/>
      <c r="BC73" s="526"/>
      <c r="BD73" s="526"/>
      <c r="BE73" s="526"/>
      <c r="BF73" s="526"/>
      <c r="BG73" s="526"/>
    </row>
    <row r="74" spans="1:59" s="830" customFormat="1" ht="17.25" customHeight="1" x14ac:dyDescent="0.25">
      <c r="A74" s="865"/>
      <c r="B74" s="865"/>
      <c r="C74" s="908"/>
      <c r="G74" s="865"/>
      <c r="H74" s="874"/>
      <c r="I74" s="869"/>
      <c r="J74" s="869"/>
      <c r="K74" s="869"/>
      <c r="L74" s="869"/>
      <c r="M74" s="874"/>
      <c r="O74" s="874"/>
      <c r="P74" s="874"/>
      <c r="Q74" s="874"/>
      <c r="R74" s="874"/>
      <c r="S74" s="874"/>
      <c r="T74" s="874"/>
      <c r="W74" s="874"/>
      <c r="X74" s="874"/>
      <c r="Y74" s="874"/>
      <c r="Z74" s="874"/>
      <c r="AA74" s="874"/>
      <c r="AD74" s="526"/>
      <c r="AE74" s="526"/>
      <c r="AF74" s="526"/>
      <c r="AG74" s="526"/>
      <c r="AH74" s="526"/>
      <c r="AI74" s="526"/>
      <c r="AJ74" s="526"/>
      <c r="AK74" s="526"/>
      <c r="AL74" s="526"/>
      <c r="AM74" s="526"/>
      <c r="AN74" s="526"/>
      <c r="AO74" s="526"/>
      <c r="AP74" s="526"/>
      <c r="AQ74" s="526"/>
      <c r="AR74" s="526"/>
      <c r="AS74" s="526"/>
      <c r="AT74" s="526"/>
      <c r="AU74" s="526"/>
      <c r="AV74" s="526"/>
      <c r="AW74" s="526"/>
      <c r="AX74" s="526"/>
      <c r="AY74" s="526"/>
      <c r="AZ74" s="526"/>
      <c r="BA74" s="526"/>
      <c r="BB74" s="526"/>
      <c r="BC74" s="526"/>
      <c r="BD74" s="526"/>
      <c r="BE74" s="526"/>
      <c r="BF74" s="526"/>
      <c r="BG74" s="526"/>
    </row>
    <row r="75" spans="1:59" s="830" customFormat="1" ht="17.25" customHeight="1" x14ac:dyDescent="0.25">
      <c r="A75" s="865"/>
      <c r="B75" s="865"/>
      <c r="C75" s="908"/>
      <c r="G75" s="865"/>
      <c r="H75" s="874"/>
      <c r="I75" s="869"/>
      <c r="J75" s="869"/>
      <c r="K75" s="869"/>
      <c r="L75" s="869"/>
      <c r="M75" s="874"/>
      <c r="O75" s="874"/>
      <c r="P75" s="874"/>
      <c r="Q75" s="874"/>
      <c r="R75" s="874"/>
      <c r="S75" s="874"/>
      <c r="T75" s="874"/>
      <c r="W75" s="874"/>
      <c r="X75" s="874"/>
      <c r="Y75" s="874"/>
      <c r="Z75" s="874"/>
      <c r="AA75" s="874"/>
      <c r="AD75" s="526"/>
      <c r="AE75" s="526"/>
      <c r="AF75" s="526"/>
      <c r="AG75" s="526"/>
      <c r="AH75" s="526"/>
      <c r="AI75" s="526"/>
      <c r="AJ75" s="526"/>
      <c r="AK75" s="526"/>
      <c r="AL75" s="526"/>
      <c r="AM75" s="526"/>
      <c r="AN75" s="526"/>
      <c r="AO75" s="526"/>
      <c r="AP75" s="526"/>
      <c r="AQ75" s="526"/>
      <c r="AR75" s="526"/>
      <c r="AS75" s="526"/>
      <c r="AT75" s="526"/>
      <c r="AU75" s="526"/>
      <c r="AV75" s="526"/>
      <c r="AW75" s="526"/>
      <c r="AX75" s="526"/>
      <c r="AY75" s="526"/>
      <c r="AZ75" s="526"/>
      <c r="BA75" s="526"/>
      <c r="BB75" s="526"/>
      <c r="BC75" s="526"/>
      <c r="BD75" s="526"/>
      <c r="BE75" s="526"/>
      <c r="BF75" s="526"/>
      <c r="BG75" s="526"/>
    </row>
    <row r="76" spans="1:59" s="830" customFormat="1" ht="17.25" customHeight="1" x14ac:dyDescent="0.25">
      <c r="A76" s="865"/>
      <c r="B76" s="865"/>
      <c r="C76" s="908"/>
      <c r="G76" s="865"/>
      <c r="H76" s="874"/>
      <c r="I76" s="869"/>
      <c r="J76" s="869"/>
      <c r="K76" s="869"/>
      <c r="L76" s="869"/>
      <c r="M76" s="874"/>
      <c r="O76" s="874"/>
      <c r="P76" s="874"/>
      <c r="Q76" s="874"/>
      <c r="R76" s="874"/>
      <c r="S76" s="874"/>
      <c r="T76" s="874"/>
      <c r="W76" s="874"/>
      <c r="X76" s="874"/>
      <c r="Y76" s="874"/>
      <c r="Z76" s="874"/>
      <c r="AA76" s="874"/>
      <c r="AD76" s="526"/>
      <c r="AE76" s="526"/>
      <c r="AF76" s="526"/>
      <c r="AG76" s="526"/>
      <c r="AH76" s="526"/>
      <c r="AI76" s="526"/>
      <c r="AJ76" s="526"/>
      <c r="AK76" s="526"/>
      <c r="AL76" s="526"/>
      <c r="AM76" s="526"/>
      <c r="AN76" s="526"/>
      <c r="AO76" s="526"/>
      <c r="AP76" s="526"/>
      <c r="AQ76" s="526"/>
      <c r="AR76" s="526"/>
      <c r="AS76" s="526"/>
      <c r="AT76" s="526"/>
      <c r="AU76" s="526"/>
      <c r="AV76" s="526"/>
      <c r="AW76" s="526"/>
      <c r="AX76" s="526"/>
      <c r="AY76" s="526"/>
      <c r="AZ76" s="526"/>
      <c r="BA76" s="526"/>
      <c r="BB76" s="526"/>
      <c r="BC76" s="526"/>
      <c r="BD76" s="526"/>
      <c r="BE76" s="526"/>
      <c r="BF76" s="526"/>
      <c r="BG76" s="526"/>
    </row>
    <row r="77" spans="1:59" s="830" customFormat="1" ht="17.25" customHeight="1" x14ac:dyDescent="0.25">
      <c r="A77" s="865"/>
      <c r="B77" s="865"/>
      <c r="C77" s="908"/>
      <c r="G77" s="865"/>
      <c r="H77" s="874"/>
      <c r="I77" s="869"/>
      <c r="J77" s="869"/>
      <c r="K77" s="869"/>
      <c r="L77" s="869"/>
      <c r="M77" s="874"/>
      <c r="O77" s="874"/>
      <c r="P77" s="874"/>
      <c r="Q77" s="874"/>
      <c r="R77" s="874"/>
      <c r="S77" s="874"/>
      <c r="T77" s="874"/>
      <c r="W77" s="874"/>
      <c r="X77" s="874"/>
      <c r="Y77" s="874"/>
      <c r="Z77" s="874"/>
      <c r="AA77" s="874"/>
      <c r="AD77" s="526"/>
      <c r="AE77" s="526"/>
      <c r="AF77" s="526"/>
      <c r="AG77" s="526"/>
      <c r="AH77" s="526"/>
      <c r="AI77" s="526"/>
      <c r="AJ77" s="526"/>
      <c r="AK77" s="526"/>
      <c r="AL77" s="526"/>
      <c r="AM77" s="526"/>
      <c r="AN77" s="526"/>
      <c r="AO77" s="526"/>
      <c r="AP77" s="526"/>
      <c r="AQ77" s="526"/>
      <c r="AR77" s="526"/>
      <c r="AS77" s="526"/>
      <c r="AT77" s="526"/>
      <c r="AU77" s="526"/>
      <c r="AV77" s="526"/>
      <c r="AW77" s="526"/>
      <c r="AX77" s="526"/>
      <c r="AY77" s="526"/>
      <c r="AZ77" s="526"/>
      <c r="BA77" s="526"/>
      <c r="BB77" s="526"/>
      <c r="BC77" s="526"/>
      <c r="BD77" s="526"/>
      <c r="BE77" s="526"/>
      <c r="BF77" s="526"/>
      <c r="BG77" s="526"/>
    </row>
    <row r="78" spans="1:59" s="830" customFormat="1" ht="17.25" customHeight="1" x14ac:dyDescent="0.25">
      <c r="A78" s="865"/>
      <c r="B78" s="865"/>
      <c r="C78" s="908"/>
      <c r="G78" s="865"/>
      <c r="H78" s="874"/>
      <c r="I78" s="869"/>
      <c r="J78" s="869"/>
      <c r="K78" s="869"/>
      <c r="L78" s="869"/>
      <c r="M78" s="874"/>
      <c r="O78" s="874"/>
      <c r="P78" s="874"/>
      <c r="Q78" s="874"/>
      <c r="R78" s="874"/>
      <c r="S78" s="874"/>
      <c r="T78" s="874"/>
      <c r="W78" s="874"/>
      <c r="X78" s="874"/>
      <c r="Y78" s="874"/>
      <c r="Z78" s="874"/>
      <c r="AA78" s="874"/>
      <c r="AD78" s="526"/>
      <c r="AE78" s="526"/>
      <c r="AF78" s="526"/>
      <c r="AG78" s="526"/>
      <c r="AH78" s="526"/>
      <c r="AI78" s="526"/>
      <c r="AJ78" s="526"/>
      <c r="AK78" s="526"/>
      <c r="AL78" s="526"/>
      <c r="AM78" s="526"/>
      <c r="AN78" s="526"/>
      <c r="AO78" s="526"/>
      <c r="AP78" s="526"/>
      <c r="AQ78" s="526"/>
      <c r="AR78" s="526"/>
      <c r="AS78" s="526"/>
      <c r="AT78" s="526"/>
      <c r="AU78" s="526"/>
      <c r="AV78" s="526"/>
      <c r="AW78" s="526"/>
      <c r="AX78" s="526"/>
      <c r="AY78" s="526"/>
      <c r="AZ78" s="526"/>
      <c r="BA78" s="526"/>
      <c r="BB78" s="526"/>
      <c r="BC78" s="526"/>
      <c r="BD78" s="526"/>
      <c r="BE78" s="526"/>
      <c r="BF78" s="526"/>
      <c r="BG78" s="526"/>
    </row>
    <row r="79" spans="1:59" s="830" customFormat="1" ht="17.25" customHeight="1" x14ac:dyDescent="0.25">
      <c r="A79" s="865"/>
      <c r="B79" s="865"/>
      <c r="C79" s="908"/>
      <c r="G79" s="865"/>
      <c r="H79" s="874"/>
      <c r="I79" s="869"/>
      <c r="J79" s="869"/>
      <c r="K79" s="869"/>
      <c r="L79" s="869"/>
      <c r="M79" s="874"/>
      <c r="O79" s="874"/>
      <c r="P79" s="874"/>
      <c r="Q79" s="874"/>
      <c r="R79" s="874"/>
      <c r="S79" s="874"/>
      <c r="T79" s="874"/>
      <c r="W79" s="874"/>
      <c r="X79" s="874"/>
      <c r="Y79" s="874"/>
      <c r="Z79" s="874"/>
      <c r="AA79" s="874"/>
      <c r="AD79" s="526"/>
      <c r="AE79" s="526"/>
      <c r="AF79" s="526"/>
      <c r="AG79" s="526"/>
      <c r="AH79" s="526"/>
      <c r="AI79" s="526"/>
      <c r="AJ79" s="526"/>
      <c r="AK79" s="526"/>
      <c r="AL79" s="526"/>
      <c r="AM79" s="526"/>
      <c r="AN79" s="526"/>
      <c r="AO79" s="526"/>
      <c r="AP79" s="526"/>
      <c r="AQ79" s="526"/>
      <c r="AR79" s="526"/>
      <c r="AS79" s="526"/>
      <c r="AT79" s="526"/>
      <c r="AU79" s="526"/>
      <c r="AV79" s="526"/>
      <c r="AW79" s="526"/>
      <c r="AX79" s="526"/>
      <c r="AY79" s="526"/>
      <c r="AZ79" s="526"/>
      <c r="BA79" s="526"/>
      <c r="BB79" s="526"/>
      <c r="BC79" s="526"/>
      <c r="BD79" s="526"/>
      <c r="BE79" s="526"/>
      <c r="BF79" s="526"/>
      <c r="BG79" s="526"/>
    </row>
    <row r="80" spans="1:59" s="830" customFormat="1" ht="17.25" customHeight="1" x14ac:dyDescent="0.25">
      <c r="A80" s="865"/>
      <c r="B80" s="865"/>
      <c r="C80" s="908"/>
      <c r="G80" s="865"/>
      <c r="H80" s="874"/>
      <c r="I80" s="869"/>
      <c r="J80" s="869"/>
      <c r="K80" s="869"/>
      <c r="L80" s="869"/>
      <c r="M80" s="874"/>
      <c r="O80" s="874"/>
      <c r="P80" s="874"/>
      <c r="Q80" s="874"/>
      <c r="R80" s="874"/>
      <c r="S80" s="874"/>
      <c r="T80" s="874"/>
      <c r="W80" s="874"/>
      <c r="X80" s="874"/>
      <c r="Y80" s="874"/>
      <c r="Z80" s="874"/>
      <c r="AA80" s="874"/>
      <c r="AD80" s="526"/>
      <c r="AE80" s="526"/>
      <c r="AF80" s="526"/>
      <c r="AG80" s="526"/>
      <c r="AH80" s="526"/>
      <c r="AI80" s="526"/>
      <c r="AJ80" s="526"/>
      <c r="AK80" s="526"/>
      <c r="AL80" s="526"/>
      <c r="AM80" s="526"/>
      <c r="AN80" s="526"/>
      <c r="AO80" s="526"/>
      <c r="AP80" s="526"/>
      <c r="AQ80" s="526"/>
      <c r="AR80" s="526"/>
      <c r="AS80" s="526"/>
      <c r="AT80" s="526"/>
      <c r="AU80" s="526"/>
      <c r="AV80" s="526"/>
      <c r="AW80" s="526"/>
      <c r="AX80" s="526"/>
      <c r="AY80" s="526"/>
      <c r="AZ80" s="526"/>
      <c r="BA80" s="526"/>
      <c r="BB80" s="526"/>
      <c r="BC80" s="526"/>
      <c r="BD80" s="526"/>
      <c r="BE80" s="526"/>
      <c r="BF80" s="526"/>
      <c r="BG80" s="526"/>
    </row>
    <row r="81" spans="1:59" s="830" customFormat="1" ht="17.25" customHeight="1" x14ac:dyDescent="0.25">
      <c r="A81" s="865"/>
      <c r="B81" s="865"/>
      <c r="C81" s="908"/>
      <c r="G81" s="865"/>
      <c r="H81" s="874"/>
      <c r="I81" s="869"/>
      <c r="J81" s="869"/>
      <c r="K81" s="869"/>
      <c r="L81" s="869"/>
      <c r="M81" s="874"/>
      <c r="O81" s="874"/>
      <c r="P81" s="874"/>
      <c r="Q81" s="874"/>
      <c r="R81" s="874"/>
      <c r="S81" s="874"/>
      <c r="T81" s="874"/>
      <c r="W81" s="874"/>
      <c r="X81" s="874"/>
      <c r="Y81" s="874"/>
      <c r="Z81" s="874"/>
      <c r="AA81" s="874"/>
      <c r="AD81" s="526"/>
      <c r="AE81" s="526"/>
      <c r="AF81" s="526"/>
      <c r="AG81" s="526"/>
      <c r="AH81" s="526"/>
      <c r="AI81" s="526"/>
      <c r="AJ81" s="526"/>
      <c r="AK81" s="526"/>
      <c r="AL81" s="526"/>
      <c r="AM81" s="526"/>
      <c r="AN81" s="526"/>
      <c r="AO81" s="526"/>
      <c r="AP81" s="526"/>
      <c r="AQ81" s="526"/>
      <c r="AR81" s="526"/>
      <c r="AS81" s="526"/>
      <c r="AT81" s="526"/>
      <c r="AU81" s="526"/>
      <c r="AV81" s="526"/>
      <c r="AW81" s="526"/>
      <c r="AX81" s="526"/>
      <c r="AY81" s="526"/>
      <c r="AZ81" s="526"/>
      <c r="BA81" s="526"/>
      <c r="BB81" s="526"/>
      <c r="BC81" s="526"/>
      <c r="BD81" s="526"/>
      <c r="BE81" s="526"/>
      <c r="BF81" s="526"/>
      <c r="BG81" s="526"/>
    </row>
    <row r="82" spans="1:59" s="830" customFormat="1" ht="17.25" customHeight="1" x14ac:dyDescent="0.25">
      <c r="A82" s="865"/>
      <c r="B82" s="865"/>
      <c r="C82" s="908"/>
      <c r="G82" s="865"/>
      <c r="H82" s="874"/>
      <c r="I82" s="869"/>
      <c r="J82" s="869"/>
      <c r="K82" s="869"/>
      <c r="L82" s="869"/>
      <c r="M82" s="874"/>
      <c r="O82" s="874"/>
      <c r="P82" s="874"/>
      <c r="Q82" s="874"/>
      <c r="R82" s="874"/>
      <c r="S82" s="874"/>
      <c r="T82" s="874"/>
      <c r="W82" s="874"/>
      <c r="X82" s="874"/>
      <c r="Y82" s="874"/>
      <c r="Z82" s="874"/>
      <c r="AA82" s="874"/>
      <c r="AD82" s="526"/>
      <c r="AE82" s="526"/>
      <c r="AF82" s="526"/>
      <c r="AG82" s="526"/>
      <c r="AH82" s="526"/>
      <c r="AI82" s="526"/>
      <c r="AJ82" s="526"/>
      <c r="AK82" s="526"/>
      <c r="AL82" s="526"/>
      <c r="AM82" s="526"/>
      <c r="AN82" s="526"/>
      <c r="AO82" s="526"/>
      <c r="AP82" s="526"/>
      <c r="AQ82" s="526"/>
      <c r="AR82" s="526"/>
      <c r="AS82" s="526"/>
      <c r="AT82" s="526"/>
      <c r="AU82" s="526"/>
      <c r="AV82" s="526"/>
      <c r="AW82" s="526"/>
      <c r="AX82" s="526"/>
      <c r="AY82" s="526"/>
      <c r="AZ82" s="526"/>
      <c r="BA82" s="526"/>
      <c r="BB82" s="526"/>
      <c r="BC82" s="526"/>
      <c r="BD82" s="526"/>
      <c r="BE82" s="526"/>
      <c r="BF82" s="526"/>
      <c r="BG82" s="526"/>
    </row>
    <row r="83" spans="1:59" s="830" customFormat="1" ht="17.25" customHeight="1" x14ac:dyDescent="0.25">
      <c r="A83" s="865"/>
      <c r="B83" s="865"/>
      <c r="C83" s="908"/>
      <c r="G83" s="865"/>
      <c r="H83" s="874"/>
      <c r="I83" s="869"/>
      <c r="J83" s="869"/>
      <c r="K83" s="869"/>
      <c r="L83" s="869"/>
      <c r="M83" s="874"/>
      <c r="O83" s="874"/>
      <c r="P83" s="874"/>
      <c r="Q83" s="874"/>
      <c r="R83" s="874"/>
      <c r="S83" s="874"/>
      <c r="T83" s="874"/>
      <c r="W83" s="874"/>
      <c r="X83" s="874"/>
      <c r="Y83" s="874"/>
      <c r="Z83" s="874"/>
      <c r="AA83" s="874"/>
      <c r="AD83" s="526"/>
      <c r="AE83" s="526"/>
      <c r="AF83" s="526"/>
      <c r="AG83" s="526"/>
      <c r="AH83" s="526"/>
      <c r="AI83" s="526"/>
      <c r="AJ83" s="526"/>
      <c r="AK83" s="526"/>
      <c r="AL83" s="526"/>
      <c r="AM83" s="526"/>
      <c r="AN83" s="526"/>
      <c r="AO83" s="526"/>
      <c r="AP83" s="526"/>
      <c r="AQ83" s="526"/>
      <c r="AR83" s="526"/>
      <c r="AS83" s="526"/>
      <c r="AT83" s="526"/>
      <c r="AU83" s="526"/>
      <c r="AV83" s="526"/>
      <c r="AW83" s="526"/>
      <c r="AX83" s="526"/>
      <c r="AY83" s="526"/>
      <c r="AZ83" s="526"/>
      <c r="BA83" s="526"/>
      <c r="BB83" s="526"/>
      <c r="BC83" s="526"/>
      <c r="BD83" s="526"/>
      <c r="BE83" s="526"/>
      <c r="BF83" s="526"/>
      <c r="BG83" s="526"/>
    </row>
    <row r="84" spans="1:59" s="830" customFormat="1" ht="17.25" customHeight="1" x14ac:dyDescent="0.25">
      <c r="A84" s="865"/>
      <c r="B84" s="865"/>
      <c r="C84" s="908"/>
      <c r="G84" s="865"/>
      <c r="H84" s="874"/>
      <c r="I84" s="869"/>
      <c r="J84" s="869"/>
      <c r="K84" s="869"/>
      <c r="L84" s="869"/>
      <c r="M84" s="874"/>
      <c r="O84" s="874"/>
      <c r="P84" s="874"/>
      <c r="Q84" s="874"/>
      <c r="R84" s="874"/>
      <c r="S84" s="874"/>
      <c r="T84" s="874"/>
      <c r="W84" s="874"/>
      <c r="X84" s="874"/>
      <c r="Y84" s="874"/>
      <c r="Z84" s="874"/>
      <c r="AA84" s="874"/>
      <c r="AD84" s="526"/>
      <c r="AE84" s="526"/>
      <c r="AF84" s="526"/>
      <c r="AG84" s="526"/>
      <c r="AH84" s="526"/>
      <c r="AI84" s="526"/>
      <c r="AJ84" s="526"/>
      <c r="AK84" s="526"/>
      <c r="AL84" s="526"/>
      <c r="AM84" s="526"/>
      <c r="AN84" s="526"/>
      <c r="AO84" s="526"/>
      <c r="AP84" s="526"/>
      <c r="AQ84" s="526"/>
      <c r="AR84" s="526"/>
      <c r="AS84" s="526"/>
      <c r="AT84" s="526"/>
      <c r="AU84" s="526"/>
      <c r="AV84" s="526"/>
      <c r="AW84" s="526"/>
      <c r="AX84" s="526"/>
      <c r="AY84" s="526"/>
      <c r="AZ84" s="526"/>
      <c r="BA84" s="526"/>
      <c r="BB84" s="526"/>
      <c r="BC84" s="526"/>
      <c r="BD84" s="526"/>
      <c r="BE84" s="526"/>
      <c r="BF84" s="526"/>
      <c r="BG84" s="526"/>
    </row>
    <row r="85" spans="1:59" s="830" customFormat="1" ht="17.25" customHeight="1" x14ac:dyDescent="0.25">
      <c r="A85" s="865"/>
      <c r="B85" s="865"/>
      <c r="C85" s="908"/>
      <c r="G85" s="865"/>
      <c r="H85" s="874"/>
      <c r="I85" s="869"/>
      <c r="J85" s="869"/>
      <c r="K85" s="869"/>
      <c r="L85" s="869"/>
      <c r="M85" s="874"/>
      <c r="O85" s="874"/>
      <c r="P85" s="874"/>
      <c r="Q85" s="874"/>
      <c r="R85" s="874"/>
      <c r="S85" s="874"/>
      <c r="T85" s="874"/>
      <c r="W85" s="874"/>
      <c r="X85" s="874"/>
      <c r="Y85" s="874"/>
      <c r="Z85" s="874"/>
      <c r="AA85" s="874"/>
      <c r="AD85" s="526"/>
      <c r="AE85" s="526"/>
      <c r="AF85" s="526"/>
      <c r="AG85" s="526"/>
      <c r="AH85" s="526"/>
      <c r="AI85" s="526"/>
      <c r="AJ85" s="526"/>
      <c r="AK85" s="526"/>
      <c r="AL85" s="526"/>
      <c r="AM85" s="526"/>
      <c r="AN85" s="526"/>
      <c r="AO85" s="526"/>
      <c r="AP85" s="526"/>
      <c r="AQ85" s="526"/>
      <c r="AR85" s="526"/>
      <c r="AS85" s="526"/>
      <c r="AT85" s="526"/>
      <c r="AU85" s="526"/>
      <c r="AV85" s="526"/>
      <c r="AW85" s="526"/>
      <c r="AX85" s="526"/>
      <c r="AY85" s="526"/>
      <c r="AZ85" s="526"/>
      <c r="BA85" s="526"/>
      <c r="BB85" s="526"/>
      <c r="BC85" s="526"/>
      <c r="BD85" s="526"/>
      <c r="BE85" s="526"/>
      <c r="BF85" s="526"/>
      <c r="BG85" s="526"/>
    </row>
    <row r="86" spans="1:59" s="830" customFormat="1" ht="17.25" customHeight="1" x14ac:dyDescent="0.25">
      <c r="A86" s="865"/>
      <c r="B86" s="865"/>
      <c r="C86" s="908"/>
      <c r="G86" s="865"/>
      <c r="H86" s="874"/>
      <c r="I86" s="869"/>
      <c r="J86" s="869"/>
      <c r="K86" s="869"/>
      <c r="L86" s="869"/>
      <c r="M86" s="874"/>
      <c r="O86" s="874"/>
      <c r="P86" s="874"/>
      <c r="Q86" s="874"/>
      <c r="R86" s="874"/>
      <c r="S86" s="874"/>
      <c r="T86" s="874"/>
      <c r="W86" s="874"/>
      <c r="X86" s="874"/>
      <c r="Y86" s="874"/>
      <c r="Z86" s="874"/>
      <c r="AA86" s="874"/>
      <c r="AD86" s="526"/>
      <c r="AE86" s="526"/>
      <c r="AF86" s="526"/>
      <c r="AG86" s="526"/>
      <c r="AH86" s="526"/>
      <c r="AI86" s="526"/>
      <c r="AJ86" s="526"/>
      <c r="AK86" s="526"/>
      <c r="AL86" s="526"/>
      <c r="AM86" s="526"/>
      <c r="AN86" s="526"/>
      <c r="AO86" s="526"/>
      <c r="AP86" s="526"/>
      <c r="AQ86" s="526"/>
      <c r="AR86" s="526"/>
      <c r="AS86" s="526"/>
      <c r="AT86" s="526"/>
      <c r="AU86" s="526"/>
      <c r="AV86" s="526"/>
      <c r="AW86" s="526"/>
      <c r="AX86" s="526"/>
      <c r="AY86" s="526"/>
      <c r="AZ86" s="526"/>
      <c r="BA86" s="526"/>
      <c r="BB86" s="526"/>
      <c r="BC86" s="526"/>
      <c r="BD86" s="526"/>
      <c r="BE86" s="526"/>
      <c r="BF86" s="526"/>
      <c r="BG86" s="526"/>
    </row>
    <row r="87" spans="1:59" s="830" customFormat="1" ht="17.25" customHeight="1" x14ac:dyDescent="0.25">
      <c r="A87" s="865"/>
      <c r="B87" s="865"/>
      <c r="C87" s="908"/>
      <c r="G87" s="865"/>
      <c r="H87" s="874"/>
      <c r="I87" s="869"/>
      <c r="J87" s="869"/>
      <c r="K87" s="869"/>
      <c r="L87" s="869"/>
      <c r="M87" s="874"/>
      <c r="O87" s="874"/>
      <c r="P87" s="874"/>
      <c r="Q87" s="874"/>
      <c r="R87" s="874"/>
      <c r="S87" s="874"/>
      <c r="T87" s="874"/>
      <c r="W87" s="874"/>
      <c r="X87" s="874"/>
      <c r="Y87" s="874"/>
      <c r="Z87" s="874"/>
      <c r="AA87" s="874"/>
      <c r="AD87" s="526"/>
      <c r="AE87" s="526"/>
      <c r="AF87" s="526"/>
      <c r="AG87" s="526"/>
      <c r="AH87" s="526"/>
      <c r="AI87" s="526"/>
      <c r="AJ87" s="526"/>
      <c r="AK87" s="526"/>
      <c r="AL87" s="526"/>
      <c r="AM87" s="526"/>
      <c r="AN87" s="526"/>
      <c r="AO87" s="526"/>
      <c r="AP87" s="526"/>
      <c r="AQ87" s="526"/>
      <c r="AR87" s="526"/>
      <c r="AS87" s="526"/>
      <c r="AT87" s="526"/>
      <c r="AU87" s="526"/>
      <c r="AV87" s="526"/>
      <c r="AW87" s="526"/>
      <c r="AX87" s="526"/>
      <c r="AY87" s="526"/>
      <c r="AZ87" s="526"/>
      <c r="BA87" s="526"/>
      <c r="BB87" s="526"/>
      <c r="BC87" s="526"/>
      <c r="BD87" s="526"/>
      <c r="BE87" s="526"/>
      <c r="BF87" s="526"/>
      <c r="BG87" s="526"/>
    </row>
    <row r="88" spans="1:59" s="830" customFormat="1" ht="17.25" customHeight="1" x14ac:dyDescent="0.25">
      <c r="A88" s="865"/>
      <c r="B88" s="865"/>
      <c r="C88" s="908"/>
      <c r="G88" s="865"/>
      <c r="H88" s="874"/>
      <c r="I88" s="869"/>
      <c r="J88" s="869"/>
      <c r="K88" s="869"/>
      <c r="L88" s="869"/>
      <c r="M88" s="874"/>
      <c r="O88" s="874"/>
      <c r="P88" s="874"/>
      <c r="Q88" s="874"/>
      <c r="R88" s="874"/>
      <c r="S88" s="874"/>
      <c r="T88" s="874"/>
      <c r="W88" s="874"/>
      <c r="X88" s="874"/>
      <c r="Y88" s="874"/>
      <c r="Z88" s="874"/>
      <c r="AA88" s="874"/>
      <c r="AD88" s="526"/>
      <c r="AE88" s="526"/>
      <c r="AF88" s="526"/>
      <c r="AG88" s="526"/>
      <c r="AH88" s="526"/>
      <c r="AI88" s="526"/>
      <c r="AJ88" s="526"/>
      <c r="AK88" s="526"/>
      <c r="AL88" s="526"/>
      <c r="AM88" s="526"/>
      <c r="AN88" s="526"/>
      <c r="AO88" s="526"/>
      <c r="AP88" s="526"/>
      <c r="AQ88" s="526"/>
      <c r="AR88" s="526"/>
      <c r="AS88" s="526"/>
      <c r="AT88" s="526"/>
      <c r="AU88" s="526"/>
      <c r="AV88" s="526"/>
      <c r="AW88" s="526"/>
      <c r="AX88" s="526"/>
      <c r="AY88" s="526"/>
      <c r="AZ88" s="526"/>
      <c r="BA88" s="526"/>
      <c r="BB88" s="526"/>
      <c r="BC88" s="526"/>
      <c r="BD88" s="526"/>
      <c r="BE88" s="526"/>
      <c r="BF88" s="526"/>
      <c r="BG88" s="526"/>
    </row>
    <row r="89" spans="1:59" s="830" customFormat="1" ht="17.25" customHeight="1" x14ac:dyDescent="0.25">
      <c r="A89" s="865"/>
      <c r="B89" s="865"/>
      <c r="C89" s="908"/>
      <c r="G89" s="865"/>
      <c r="H89" s="874"/>
      <c r="I89" s="869"/>
      <c r="J89" s="869"/>
      <c r="K89" s="869"/>
      <c r="L89" s="869"/>
      <c r="M89" s="874"/>
      <c r="O89" s="874"/>
      <c r="P89" s="874"/>
      <c r="Q89" s="874"/>
      <c r="R89" s="874"/>
      <c r="S89" s="874"/>
      <c r="T89" s="874"/>
      <c r="W89" s="874"/>
      <c r="X89" s="874"/>
      <c r="Y89" s="874"/>
      <c r="Z89" s="874"/>
      <c r="AA89" s="874"/>
      <c r="AD89" s="526"/>
      <c r="AE89" s="526"/>
      <c r="AF89" s="526"/>
      <c r="AG89" s="526"/>
      <c r="AH89" s="526"/>
      <c r="AI89" s="526"/>
      <c r="AJ89" s="526"/>
      <c r="AK89" s="526"/>
      <c r="AL89" s="526"/>
      <c r="AM89" s="526"/>
      <c r="AN89" s="526"/>
      <c r="AO89" s="526"/>
      <c r="AP89" s="526"/>
      <c r="AQ89" s="526"/>
      <c r="AR89" s="526"/>
      <c r="AS89" s="526"/>
      <c r="AT89" s="526"/>
      <c r="AU89" s="526"/>
      <c r="AV89" s="526"/>
      <c r="AW89" s="526"/>
      <c r="AX89" s="526"/>
      <c r="AY89" s="526"/>
      <c r="AZ89" s="526"/>
      <c r="BA89" s="526"/>
      <c r="BB89" s="526"/>
      <c r="BC89" s="526"/>
      <c r="BD89" s="526"/>
      <c r="BE89" s="526"/>
      <c r="BF89" s="526"/>
      <c r="BG89" s="526"/>
    </row>
    <row r="90" spans="1:59" s="830" customFormat="1" ht="17.25" customHeight="1" x14ac:dyDescent="0.25">
      <c r="A90" s="865"/>
      <c r="B90" s="865"/>
      <c r="C90" s="908"/>
      <c r="G90" s="865"/>
      <c r="H90" s="874"/>
      <c r="I90" s="869"/>
      <c r="J90" s="869"/>
      <c r="K90" s="869"/>
      <c r="L90" s="869"/>
      <c r="M90" s="874"/>
      <c r="O90" s="874"/>
      <c r="P90" s="874"/>
      <c r="Q90" s="874"/>
      <c r="R90" s="874"/>
      <c r="S90" s="874"/>
      <c r="T90" s="874"/>
      <c r="W90" s="874"/>
      <c r="X90" s="874"/>
      <c r="Y90" s="874"/>
      <c r="Z90" s="874"/>
      <c r="AA90" s="874"/>
      <c r="AD90" s="526"/>
      <c r="AE90" s="526"/>
      <c r="AF90" s="526"/>
      <c r="AG90" s="526"/>
      <c r="AH90" s="526"/>
      <c r="AI90" s="526"/>
      <c r="AJ90" s="526"/>
      <c r="AK90" s="526"/>
      <c r="AL90" s="526"/>
      <c r="AM90" s="526"/>
      <c r="AN90" s="526"/>
      <c r="AO90" s="526"/>
      <c r="AP90" s="526"/>
      <c r="AQ90" s="526"/>
      <c r="AR90" s="526"/>
      <c r="AS90" s="526"/>
      <c r="AT90" s="526"/>
      <c r="AU90" s="526"/>
      <c r="AV90" s="526"/>
      <c r="AW90" s="526"/>
      <c r="AX90" s="526"/>
      <c r="AY90" s="526"/>
      <c r="AZ90" s="526"/>
      <c r="BA90" s="526"/>
      <c r="BB90" s="526"/>
      <c r="BC90" s="526"/>
      <c r="BD90" s="526"/>
      <c r="BE90" s="526"/>
      <c r="BF90" s="526"/>
      <c r="BG90" s="526"/>
    </row>
    <row r="91" spans="1:59" s="830" customFormat="1" ht="17.25" customHeight="1" x14ac:dyDescent="0.25">
      <c r="A91" s="865"/>
      <c r="B91" s="865"/>
      <c r="C91" s="908"/>
      <c r="G91" s="865"/>
      <c r="H91" s="874"/>
      <c r="I91" s="869"/>
      <c r="J91" s="869"/>
      <c r="K91" s="869"/>
      <c r="L91" s="869"/>
      <c r="M91" s="874"/>
      <c r="O91" s="874"/>
      <c r="P91" s="874"/>
      <c r="Q91" s="874"/>
      <c r="R91" s="874"/>
      <c r="S91" s="874"/>
      <c r="T91" s="874"/>
      <c r="W91" s="874"/>
      <c r="X91" s="874"/>
      <c r="Y91" s="874"/>
      <c r="Z91" s="874"/>
      <c r="AA91" s="874"/>
      <c r="AD91" s="526"/>
      <c r="AE91" s="526"/>
      <c r="AF91" s="526"/>
      <c r="AG91" s="526"/>
      <c r="AH91" s="526"/>
      <c r="AI91" s="526"/>
      <c r="AJ91" s="526"/>
      <c r="AK91" s="526"/>
      <c r="AL91" s="526"/>
      <c r="AM91" s="526"/>
      <c r="AN91" s="526"/>
      <c r="AO91" s="526"/>
      <c r="AP91" s="526"/>
      <c r="AQ91" s="526"/>
      <c r="AR91" s="526"/>
      <c r="AS91" s="526"/>
      <c r="AT91" s="526"/>
      <c r="AU91" s="526"/>
      <c r="AV91" s="526"/>
      <c r="AW91" s="526"/>
      <c r="AX91" s="526"/>
      <c r="AY91" s="526"/>
      <c r="AZ91" s="526"/>
      <c r="BA91" s="526"/>
      <c r="BB91" s="526"/>
      <c r="BC91" s="526"/>
      <c r="BD91" s="526"/>
      <c r="BE91" s="526"/>
      <c r="BF91" s="526"/>
      <c r="BG91" s="526"/>
    </row>
    <row r="92" spans="1:59" s="830" customFormat="1" ht="17.25" customHeight="1" x14ac:dyDescent="0.25">
      <c r="A92" s="865"/>
      <c r="B92" s="865"/>
      <c r="C92" s="908"/>
      <c r="G92" s="865"/>
      <c r="H92" s="874"/>
      <c r="I92" s="869"/>
      <c r="J92" s="869"/>
      <c r="K92" s="869"/>
      <c r="L92" s="869"/>
      <c r="M92" s="874"/>
      <c r="O92" s="874"/>
      <c r="P92" s="874"/>
      <c r="Q92" s="874"/>
      <c r="R92" s="874"/>
      <c r="S92" s="874"/>
      <c r="T92" s="874"/>
      <c r="W92" s="874"/>
      <c r="X92" s="874"/>
      <c r="Y92" s="874"/>
      <c r="Z92" s="874"/>
      <c r="AA92" s="874"/>
      <c r="AD92" s="526"/>
      <c r="AE92" s="526"/>
      <c r="AF92" s="526"/>
      <c r="AG92" s="526"/>
      <c r="AH92" s="526"/>
      <c r="AI92" s="526"/>
      <c r="AJ92" s="526"/>
      <c r="AK92" s="526"/>
      <c r="AL92" s="526"/>
      <c r="AM92" s="526"/>
      <c r="AN92" s="526"/>
      <c r="AO92" s="526"/>
      <c r="AP92" s="526"/>
      <c r="AQ92" s="526"/>
      <c r="AR92" s="526"/>
      <c r="AS92" s="526"/>
      <c r="AT92" s="526"/>
      <c r="AU92" s="526"/>
      <c r="AV92" s="526"/>
      <c r="AW92" s="526"/>
      <c r="AX92" s="526"/>
      <c r="AY92" s="526"/>
      <c r="AZ92" s="526"/>
      <c r="BA92" s="526"/>
      <c r="BB92" s="526"/>
      <c r="BC92" s="526"/>
      <c r="BD92" s="526"/>
      <c r="BE92" s="526"/>
      <c r="BF92" s="526"/>
      <c r="BG92" s="526"/>
    </row>
    <row r="93" spans="1:59" s="830" customFormat="1" ht="17.25" customHeight="1" x14ac:dyDescent="0.25">
      <c r="A93" s="865"/>
      <c r="B93" s="865"/>
      <c r="C93" s="908"/>
      <c r="G93" s="865"/>
      <c r="H93" s="874"/>
      <c r="I93" s="869"/>
      <c r="J93" s="869"/>
      <c r="K93" s="869"/>
      <c r="L93" s="869"/>
      <c r="M93" s="874"/>
      <c r="O93" s="874"/>
      <c r="P93" s="874"/>
      <c r="Q93" s="874"/>
      <c r="R93" s="874"/>
      <c r="S93" s="874"/>
      <c r="T93" s="874"/>
      <c r="W93" s="874"/>
      <c r="X93" s="874"/>
      <c r="Y93" s="874"/>
      <c r="Z93" s="874"/>
      <c r="AA93" s="874"/>
      <c r="AD93" s="526"/>
      <c r="AE93" s="526"/>
      <c r="AF93" s="526"/>
      <c r="AG93" s="526"/>
      <c r="AH93" s="526"/>
      <c r="AI93" s="526"/>
      <c r="AJ93" s="526"/>
      <c r="AK93" s="526"/>
      <c r="AL93" s="526"/>
      <c r="AM93" s="526"/>
      <c r="AN93" s="526"/>
      <c r="AO93" s="526"/>
      <c r="AP93" s="526"/>
      <c r="AQ93" s="526"/>
      <c r="AR93" s="526"/>
      <c r="AS93" s="526"/>
      <c r="AT93" s="526"/>
      <c r="AU93" s="526"/>
      <c r="AV93" s="526"/>
      <c r="AW93" s="526"/>
      <c r="AX93" s="526"/>
      <c r="AY93" s="526"/>
      <c r="AZ93" s="526"/>
      <c r="BA93" s="526"/>
      <c r="BB93" s="526"/>
      <c r="BC93" s="526"/>
      <c r="BD93" s="526"/>
      <c r="BE93" s="526"/>
      <c r="BF93" s="526"/>
      <c r="BG93" s="526"/>
    </row>
    <row r="94" spans="1:59" s="830" customFormat="1" ht="17.25" customHeight="1" x14ac:dyDescent="0.25">
      <c r="A94" s="865"/>
      <c r="B94" s="865"/>
      <c r="C94" s="908"/>
      <c r="G94" s="865"/>
      <c r="H94" s="874"/>
      <c r="I94" s="869"/>
      <c r="J94" s="869"/>
      <c r="K94" s="869"/>
      <c r="L94" s="869"/>
      <c r="M94" s="874"/>
      <c r="O94" s="874"/>
      <c r="P94" s="874"/>
      <c r="Q94" s="874"/>
      <c r="R94" s="874"/>
      <c r="S94" s="874"/>
      <c r="T94" s="874"/>
      <c r="W94" s="874"/>
      <c r="X94" s="874"/>
      <c r="Y94" s="874"/>
      <c r="Z94" s="874"/>
      <c r="AA94" s="874"/>
      <c r="AD94" s="526"/>
      <c r="AE94" s="526"/>
      <c r="AF94" s="526"/>
      <c r="AG94" s="526"/>
      <c r="AH94" s="526"/>
      <c r="AI94" s="526"/>
      <c r="AJ94" s="526"/>
      <c r="AK94" s="526"/>
      <c r="AL94" s="526"/>
      <c r="AM94" s="526"/>
      <c r="AN94" s="526"/>
      <c r="AO94" s="526"/>
      <c r="AP94" s="526"/>
      <c r="AQ94" s="526"/>
      <c r="AR94" s="526"/>
      <c r="AS94" s="526"/>
      <c r="AT94" s="526"/>
      <c r="AU94" s="526"/>
      <c r="AV94" s="526"/>
      <c r="AW94" s="526"/>
      <c r="AX94" s="526"/>
      <c r="AY94" s="526"/>
      <c r="AZ94" s="526"/>
      <c r="BA94" s="526"/>
      <c r="BB94" s="526"/>
      <c r="BC94" s="526"/>
      <c r="BD94" s="526"/>
      <c r="BE94" s="526"/>
      <c r="BF94" s="526"/>
      <c r="BG94" s="526"/>
    </row>
    <row r="95" spans="1:59" s="830" customFormat="1" ht="17.25" customHeight="1" x14ac:dyDescent="0.25">
      <c r="A95" s="865"/>
      <c r="B95" s="865"/>
      <c r="C95" s="908"/>
      <c r="G95" s="865"/>
      <c r="H95" s="874"/>
      <c r="I95" s="869"/>
      <c r="J95" s="869"/>
      <c r="K95" s="869"/>
      <c r="L95" s="869"/>
      <c r="M95" s="874"/>
      <c r="O95" s="874"/>
      <c r="P95" s="874"/>
      <c r="Q95" s="874"/>
      <c r="R95" s="874"/>
      <c r="S95" s="874"/>
      <c r="T95" s="874"/>
      <c r="W95" s="874"/>
      <c r="X95" s="874"/>
      <c r="Y95" s="874"/>
      <c r="Z95" s="874"/>
      <c r="AA95" s="874"/>
      <c r="AD95" s="526"/>
      <c r="AE95" s="526"/>
      <c r="AF95" s="526"/>
      <c r="AG95" s="526"/>
      <c r="AH95" s="526"/>
      <c r="AI95" s="526"/>
      <c r="AJ95" s="526"/>
      <c r="AK95" s="526"/>
      <c r="AL95" s="526"/>
      <c r="AM95" s="526"/>
      <c r="AN95" s="526"/>
      <c r="AO95" s="526"/>
      <c r="AP95" s="526"/>
      <c r="AQ95" s="526"/>
      <c r="AR95" s="526"/>
      <c r="AS95" s="526"/>
      <c r="AT95" s="526"/>
      <c r="AU95" s="526"/>
      <c r="AV95" s="526"/>
      <c r="AW95" s="526"/>
      <c r="AX95" s="526"/>
      <c r="AY95" s="526"/>
      <c r="AZ95" s="526"/>
      <c r="BA95" s="526"/>
      <c r="BB95" s="526"/>
      <c r="BC95" s="526"/>
      <c r="BD95" s="526"/>
      <c r="BE95" s="526"/>
      <c r="BF95" s="526"/>
      <c r="BG95" s="526"/>
    </row>
    <row r="96" spans="1:59" s="830" customFormat="1" ht="17.25" customHeight="1" x14ac:dyDescent="0.25">
      <c r="A96" s="865"/>
      <c r="B96" s="865"/>
      <c r="C96" s="908"/>
      <c r="G96" s="865"/>
      <c r="H96" s="874"/>
      <c r="I96" s="869"/>
      <c r="J96" s="869"/>
      <c r="K96" s="869"/>
      <c r="L96" s="869"/>
      <c r="M96" s="874"/>
      <c r="O96" s="874"/>
      <c r="P96" s="874"/>
      <c r="Q96" s="874"/>
      <c r="R96" s="874"/>
      <c r="S96" s="874"/>
      <c r="T96" s="874"/>
      <c r="W96" s="874"/>
      <c r="X96" s="874"/>
      <c r="Y96" s="874"/>
      <c r="Z96" s="874"/>
      <c r="AA96" s="874"/>
      <c r="AD96" s="526"/>
      <c r="AE96" s="526"/>
      <c r="AF96" s="526"/>
      <c r="AG96" s="526"/>
      <c r="AH96" s="526"/>
      <c r="AI96" s="526"/>
      <c r="AJ96" s="526"/>
      <c r="AK96" s="526"/>
      <c r="AL96" s="526"/>
      <c r="AM96" s="526"/>
      <c r="AN96" s="526"/>
      <c r="AO96" s="526"/>
      <c r="AP96" s="526"/>
      <c r="AQ96" s="526"/>
      <c r="AR96" s="526"/>
      <c r="AS96" s="526"/>
      <c r="AT96" s="526"/>
      <c r="AU96" s="526"/>
      <c r="AV96" s="526"/>
      <c r="AW96" s="526"/>
      <c r="AX96" s="526"/>
      <c r="AY96" s="526"/>
      <c r="AZ96" s="526"/>
      <c r="BA96" s="526"/>
      <c r="BB96" s="526"/>
      <c r="BC96" s="526"/>
      <c r="BD96" s="526"/>
      <c r="BE96" s="526"/>
      <c r="BF96" s="526"/>
      <c r="BG96" s="526"/>
    </row>
    <row r="97" spans="1:59" s="830" customFormat="1" ht="17.25" customHeight="1" x14ac:dyDescent="0.25">
      <c r="A97" s="865"/>
      <c r="B97" s="865"/>
      <c r="C97" s="908"/>
      <c r="G97" s="865"/>
      <c r="H97" s="874"/>
      <c r="I97" s="869"/>
      <c r="J97" s="869"/>
      <c r="K97" s="869"/>
      <c r="L97" s="869"/>
      <c r="M97" s="874"/>
      <c r="O97" s="874"/>
      <c r="P97" s="874"/>
      <c r="Q97" s="874"/>
      <c r="R97" s="874"/>
      <c r="S97" s="874"/>
      <c r="T97" s="874"/>
      <c r="W97" s="874"/>
      <c r="X97" s="874"/>
      <c r="Y97" s="874"/>
      <c r="Z97" s="874"/>
      <c r="AA97" s="874"/>
      <c r="AD97" s="526"/>
      <c r="AE97" s="526"/>
      <c r="AF97" s="526"/>
      <c r="AG97" s="526"/>
      <c r="AH97" s="526"/>
      <c r="AI97" s="526"/>
      <c r="AJ97" s="526"/>
      <c r="AK97" s="526"/>
      <c r="AL97" s="526"/>
      <c r="AM97" s="526"/>
      <c r="AN97" s="526"/>
      <c r="AO97" s="526"/>
      <c r="AP97" s="526"/>
      <c r="AQ97" s="526"/>
      <c r="AR97" s="526"/>
      <c r="AS97" s="526"/>
      <c r="AT97" s="526"/>
      <c r="AU97" s="526"/>
      <c r="AV97" s="526"/>
      <c r="AW97" s="526"/>
      <c r="AX97" s="526"/>
      <c r="AY97" s="526"/>
      <c r="AZ97" s="526"/>
      <c r="BA97" s="526"/>
      <c r="BB97" s="526"/>
      <c r="BC97" s="526"/>
      <c r="BD97" s="526"/>
      <c r="BE97" s="526"/>
      <c r="BF97" s="526"/>
      <c r="BG97" s="526"/>
    </row>
    <row r="98" spans="1:59" s="830" customFormat="1" ht="17.25" customHeight="1" x14ac:dyDescent="0.25">
      <c r="A98" s="865"/>
      <c r="B98" s="865"/>
      <c r="C98" s="908"/>
      <c r="G98" s="865"/>
      <c r="H98" s="874"/>
      <c r="I98" s="869"/>
      <c r="J98" s="869"/>
      <c r="K98" s="869"/>
      <c r="L98" s="869"/>
      <c r="M98" s="874"/>
      <c r="O98" s="874"/>
      <c r="P98" s="874"/>
      <c r="Q98" s="874"/>
      <c r="R98" s="874"/>
      <c r="S98" s="874"/>
      <c r="T98" s="874"/>
      <c r="W98" s="874"/>
      <c r="X98" s="874"/>
      <c r="Y98" s="874"/>
      <c r="Z98" s="874"/>
      <c r="AA98" s="874"/>
      <c r="AD98" s="526"/>
      <c r="AE98" s="526"/>
      <c r="AF98" s="526"/>
      <c r="AG98" s="526"/>
      <c r="AH98" s="526"/>
      <c r="AI98" s="526"/>
      <c r="AJ98" s="526"/>
      <c r="AK98" s="526"/>
      <c r="AL98" s="526"/>
      <c r="AM98" s="526"/>
      <c r="AN98" s="526"/>
      <c r="AO98" s="526"/>
      <c r="AP98" s="526"/>
      <c r="AQ98" s="526"/>
      <c r="AR98" s="526"/>
      <c r="AS98" s="526"/>
      <c r="AT98" s="526"/>
      <c r="AU98" s="526"/>
      <c r="AV98" s="526"/>
      <c r="AW98" s="526"/>
      <c r="AX98" s="526"/>
      <c r="AY98" s="526"/>
      <c r="AZ98" s="526"/>
      <c r="BA98" s="526"/>
      <c r="BB98" s="526"/>
      <c r="BC98" s="526"/>
      <c r="BD98" s="526"/>
      <c r="BE98" s="526"/>
      <c r="BF98" s="526"/>
      <c r="BG98" s="526"/>
    </row>
    <row r="99" spans="1:59" s="830" customFormat="1" ht="17.25" customHeight="1" x14ac:dyDescent="0.25">
      <c r="A99" s="865"/>
      <c r="B99" s="865"/>
      <c r="C99" s="908"/>
      <c r="G99" s="865"/>
      <c r="H99" s="874"/>
      <c r="I99" s="869"/>
      <c r="J99" s="869"/>
      <c r="K99" s="869"/>
      <c r="L99" s="869"/>
      <c r="M99" s="874"/>
      <c r="O99" s="874"/>
      <c r="P99" s="874"/>
      <c r="Q99" s="874"/>
      <c r="R99" s="874"/>
      <c r="S99" s="874"/>
      <c r="T99" s="874"/>
      <c r="W99" s="874"/>
      <c r="X99" s="874"/>
      <c r="Y99" s="874"/>
      <c r="Z99" s="874"/>
      <c r="AA99" s="874"/>
      <c r="AD99" s="526"/>
      <c r="AE99" s="526"/>
      <c r="AF99" s="526"/>
      <c r="AG99" s="526"/>
      <c r="AH99" s="526"/>
      <c r="AI99" s="526"/>
      <c r="AJ99" s="526"/>
      <c r="AK99" s="526"/>
      <c r="AL99" s="526"/>
      <c r="AM99" s="526"/>
      <c r="AN99" s="526"/>
      <c r="AO99" s="526"/>
      <c r="AP99" s="526"/>
      <c r="AQ99" s="526"/>
      <c r="AR99" s="526"/>
      <c r="AS99" s="526"/>
      <c r="AT99" s="526"/>
      <c r="AU99" s="526"/>
      <c r="AV99" s="526"/>
      <c r="AW99" s="526"/>
      <c r="AX99" s="526"/>
      <c r="AY99" s="526"/>
      <c r="AZ99" s="526"/>
      <c r="BA99" s="526"/>
      <c r="BB99" s="526"/>
      <c r="BC99" s="526"/>
      <c r="BD99" s="526"/>
      <c r="BE99" s="526"/>
      <c r="BF99" s="526"/>
      <c r="BG99" s="526"/>
    </row>
    <row r="100" spans="1:59" s="830" customFormat="1" ht="17.25" customHeight="1" x14ac:dyDescent="0.25">
      <c r="A100" s="865"/>
      <c r="B100" s="865"/>
      <c r="C100" s="908"/>
      <c r="G100" s="865"/>
      <c r="H100" s="874"/>
      <c r="I100" s="869"/>
      <c r="J100" s="869"/>
      <c r="K100" s="869"/>
      <c r="L100" s="869"/>
      <c r="M100" s="874"/>
      <c r="O100" s="874"/>
      <c r="P100" s="874"/>
      <c r="Q100" s="874"/>
      <c r="R100" s="874"/>
      <c r="S100" s="874"/>
      <c r="T100" s="874"/>
      <c r="W100" s="874"/>
      <c r="X100" s="874"/>
      <c r="Y100" s="874"/>
      <c r="Z100" s="874"/>
      <c r="AA100" s="874"/>
      <c r="AD100" s="526"/>
      <c r="AE100" s="526"/>
      <c r="AF100" s="526"/>
      <c r="AG100" s="526"/>
      <c r="AH100" s="526"/>
      <c r="AI100" s="526"/>
      <c r="AJ100" s="526"/>
      <c r="AK100" s="526"/>
      <c r="AL100" s="526"/>
      <c r="AM100" s="526"/>
      <c r="AN100" s="526"/>
      <c r="AO100" s="526"/>
      <c r="AP100" s="526"/>
      <c r="AQ100" s="526"/>
      <c r="AR100" s="526"/>
      <c r="AS100" s="526"/>
      <c r="AT100" s="526"/>
      <c r="AU100" s="526"/>
      <c r="AV100" s="526"/>
      <c r="AW100" s="526"/>
      <c r="AX100" s="526"/>
      <c r="AY100" s="526"/>
      <c r="AZ100" s="526"/>
      <c r="BA100" s="526"/>
      <c r="BB100" s="526"/>
      <c r="BC100" s="526"/>
      <c r="BD100" s="526"/>
      <c r="BE100" s="526"/>
      <c r="BF100" s="526"/>
      <c r="BG100" s="526"/>
    </row>
    <row r="101" spans="1:59" s="830" customFormat="1" ht="17.25" customHeight="1" x14ac:dyDescent="0.25">
      <c r="A101" s="865"/>
      <c r="B101" s="865"/>
      <c r="C101" s="908"/>
      <c r="G101" s="865"/>
      <c r="H101" s="874"/>
      <c r="I101" s="869"/>
      <c r="J101" s="869"/>
      <c r="K101" s="869"/>
      <c r="L101" s="869"/>
      <c r="M101" s="874"/>
      <c r="O101" s="874"/>
      <c r="P101" s="874"/>
      <c r="Q101" s="874"/>
      <c r="R101" s="874"/>
      <c r="S101" s="874"/>
      <c r="T101" s="874"/>
      <c r="W101" s="874"/>
      <c r="X101" s="874"/>
      <c r="Y101" s="874"/>
      <c r="Z101" s="874"/>
      <c r="AA101" s="874"/>
      <c r="AD101" s="526"/>
      <c r="AE101" s="526"/>
      <c r="AF101" s="526"/>
      <c r="AG101" s="526"/>
      <c r="AH101" s="526"/>
      <c r="AI101" s="526"/>
      <c r="AJ101" s="526"/>
      <c r="AK101" s="526"/>
      <c r="AL101" s="526"/>
      <c r="AM101" s="526"/>
      <c r="AN101" s="526"/>
      <c r="AO101" s="526"/>
      <c r="AP101" s="526"/>
      <c r="AQ101" s="526"/>
      <c r="AR101" s="526"/>
      <c r="AS101" s="526"/>
      <c r="AT101" s="526"/>
      <c r="AU101" s="526"/>
      <c r="AV101" s="526"/>
      <c r="AW101" s="526"/>
      <c r="AX101" s="526"/>
      <c r="AY101" s="526"/>
      <c r="AZ101" s="526"/>
      <c r="BA101" s="526"/>
      <c r="BB101" s="526"/>
      <c r="BC101" s="526"/>
      <c r="BD101" s="526"/>
      <c r="BE101" s="526"/>
      <c r="BF101" s="526"/>
      <c r="BG101" s="526"/>
    </row>
    <row r="102" spans="1:59" s="830" customFormat="1" ht="17.25" customHeight="1" x14ac:dyDescent="0.25">
      <c r="A102" s="865"/>
      <c r="B102" s="865"/>
      <c r="C102" s="908"/>
      <c r="G102" s="865"/>
      <c r="H102" s="874"/>
      <c r="I102" s="869"/>
      <c r="J102" s="869"/>
      <c r="K102" s="869"/>
      <c r="L102" s="869"/>
      <c r="M102" s="874"/>
      <c r="O102" s="874"/>
      <c r="P102" s="874"/>
      <c r="Q102" s="874"/>
      <c r="R102" s="874"/>
      <c r="S102" s="874"/>
      <c r="T102" s="874"/>
      <c r="W102" s="874"/>
      <c r="X102" s="874"/>
      <c r="Y102" s="874"/>
      <c r="Z102" s="874"/>
      <c r="AA102" s="874"/>
      <c r="AD102" s="526"/>
      <c r="AE102" s="526"/>
      <c r="AF102" s="526"/>
      <c r="AG102" s="526"/>
      <c r="AH102" s="526"/>
      <c r="AI102" s="526"/>
      <c r="AJ102" s="526"/>
      <c r="AK102" s="526"/>
      <c r="AL102" s="526"/>
      <c r="AM102" s="526"/>
      <c r="AN102" s="526"/>
      <c r="AO102" s="526"/>
      <c r="AP102" s="526"/>
      <c r="AQ102" s="526"/>
      <c r="AR102" s="526"/>
      <c r="AS102" s="526"/>
      <c r="AT102" s="526"/>
      <c r="AU102" s="526"/>
      <c r="AV102" s="526"/>
      <c r="AW102" s="526"/>
      <c r="AX102" s="526"/>
      <c r="AY102" s="526"/>
      <c r="AZ102" s="526"/>
      <c r="BA102" s="526"/>
      <c r="BB102" s="526"/>
      <c r="BC102" s="526"/>
      <c r="BD102" s="526"/>
      <c r="BE102" s="526"/>
      <c r="BF102" s="526"/>
      <c r="BG102" s="526"/>
    </row>
    <row r="103" spans="1:59" s="830" customFormat="1" ht="17.25" customHeight="1" x14ac:dyDescent="0.25">
      <c r="A103" s="865"/>
      <c r="B103" s="865"/>
      <c r="C103" s="908"/>
      <c r="G103" s="865"/>
      <c r="H103" s="874"/>
      <c r="I103" s="869"/>
      <c r="J103" s="869"/>
      <c r="K103" s="869"/>
      <c r="L103" s="869"/>
      <c r="M103" s="874"/>
      <c r="O103" s="874"/>
      <c r="P103" s="874"/>
      <c r="Q103" s="874"/>
      <c r="R103" s="874"/>
      <c r="S103" s="874"/>
      <c r="T103" s="874"/>
      <c r="W103" s="874"/>
      <c r="X103" s="874"/>
      <c r="Y103" s="874"/>
      <c r="Z103" s="874"/>
      <c r="AA103" s="874"/>
      <c r="AD103" s="526"/>
      <c r="AE103" s="526"/>
      <c r="AF103" s="526"/>
      <c r="AG103" s="526"/>
      <c r="AH103" s="526"/>
      <c r="AI103" s="526"/>
      <c r="AJ103" s="526"/>
      <c r="AK103" s="526"/>
      <c r="AL103" s="526"/>
      <c r="AM103" s="526"/>
      <c r="AN103" s="526"/>
      <c r="AO103" s="526"/>
      <c r="AP103" s="526"/>
      <c r="AQ103" s="526"/>
      <c r="AR103" s="526"/>
      <c r="AS103" s="526"/>
      <c r="AT103" s="526"/>
      <c r="AU103" s="526"/>
      <c r="AV103" s="526"/>
      <c r="AW103" s="526"/>
      <c r="AX103" s="526"/>
      <c r="AY103" s="526"/>
      <c r="AZ103" s="526"/>
      <c r="BA103" s="526"/>
      <c r="BB103" s="526"/>
      <c r="BC103" s="526"/>
      <c r="BD103" s="526"/>
      <c r="BE103" s="526"/>
      <c r="BF103" s="526"/>
      <c r="BG103" s="526"/>
    </row>
    <row r="104" spans="1:59" s="830" customFormat="1" ht="17.25" customHeight="1" x14ac:dyDescent="0.25">
      <c r="A104" s="865"/>
      <c r="B104" s="865"/>
      <c r="C104" s="908"/>
      <c r="G104" s="865"/>
      <c r="H104" s="874"/>
      <c r="I104" s="869"/>
      <c r="J104" s="869"/>
      <c r="K104" s="869"/>
      <c r="L104" s="869"/>
      <c r="M104" s="874"/>
      <c r="O104" s="874"/>
      <c r="P104" s="874"/>
      <c r="Q104" s="874"/>
      <c r="R104" s="874"/>
      <c r="S104" s="874"/>
      <c r="T104" s="874"/>
      <c r="W104" s="874"/>
      <c r="X104" s="874"/>
      <c r="Y104" s="874"/>
      <c r="Z104" s="874"/>
      <c r="AA104" s="874"/>
      <c r="AD104" s="526"/>
      <c r="AE104" s="526"/>
      <c r="AF104" s="526"/>
      <c r="AG104" s="526"/>
      <c r="AH104" s="526"/>
      <c r="AI104" s="526"/>
      <c r="AJ104" s="526"/>
      <c r="AK104" s="526"/>
      <c r="AL104" s="526"/>
      <c r="AM104" s="526"/>
      <c r="AN104" s="526"/>
      <c r="AO104" s="526"/>
      <c r="AP104" s="526"/>
      <c r="AQ104" s="526"/>
      <c r="AR104" s="526"/>
      <c r="AS104" s="526"/>
      <c r="AT104" s="526"/>
      <c r="AU104" s="526"/>
      <c r="AV104" s="526"/>
      <c r="AW104" s="526"/>
      <c r="AX104" s="526"/>
      <c r="AY104" s="526"/>
      <c r="AZ104" s="526"/>
      <c r="BA104" s="526"/>
      <c r="BB104" s="526"/>
      <c r="BC104" s="526"/>
      <c r="BD104" s="526"/>
      <c r="BE104" s="526"/>
      <c r="BF104" s="526"/>
      <c r="BG104" s="526"/>
    </row>
    <row r="105" spans="1:59" s="830" customFormat="1" ht="17.25" customHeight="1" x14ac:dyDescent="0.25">
      <c r="A105" s="865"/>
      <c r="B105" s="865"/>
      <c r="C105" s="908"/>
      <c r="G105" s="865"/>
      <c r="H105" s="874"/>
      <c r="I105" s="869"/>
      <c r="J105" s="869"/>
      <c r="K105" s="869"/>
      <c r="L105" s="869"/>
      <c r="M105" s="874"/>
      <c r="O105" s="874"/>
      <c r="P105" s="874"/>
      <c r="Q105" s="874"/>
      <c r="R105" s="874"/>
      <c r="S105" s="874"/>
      <c r="T105" s="874"/>
      <c r="W105" s="874"/>
      <c r="X105" s="874"/>
      <c r="Y105" s="874"/>
      <c r="Z105" s="874"/>
      <c r="AA105" s="874"/>
      <c r="AD105" s="526"/>
      <c r="AE105" s="526"/>
      <c r="AF105" s="526"/>
      <c r="AG105" s="526"/>
      <c r="AH105" s="526"/>
      <c r="AI105" s="526"/>
      <c r="AJ105" s="526"/>
      <c r="AK105" s="526"/>
      <c r="AL105" s="526"/>
      <c r="AM105" s="526"/>
      <c r="AN105" s="526"/>
      <c r="AO105" s="526"/>
      <c r="AP105" s="526"/>
      <c r="AQ105" s="526"/>
      <c r="AR105" s="526"/>
      <c r="AS105" s="526"/>
      <c r="AT105" s="526"/>
      <c r="AU105" s="526"/>
      <c r="AV105" s="526"/>
      <c r="AW105" s="526"/>
      <c r="AX105" s="526"/>
      <c r="AY105" s="526"/>
      <c r="AZ105" s="526"/>
      <c r="BA105" s="526"/>
      <c r="BB105" s="526"/>
      <c r="BC105" s="526"/>
      <c r="BD105" s="526"/>
      <c r="BE105" s="526"/>
      <c r="BF105" s="526"/>
      <c r="BG105" s="526"/>
    </row>
    <row r="106" spans="1:59" s="830" customFormat="1" ht="17.25" customHeight="1" x14ac:dyDescent="0.25">
      <c r="A106" s="865"/>
      <c r="B106" s="865"/>
      <c r="C106" s="908"/>
      <c r="G106" s="865"/>
      <c r="H106" s="874"/>
      <c r="I106" s="869"/>
      <c r="J106" s="869"/>
      <c r="K106" s="869"/>
      <c r="L106" s="869"/>
      <c r="M106" s="874"/>
      <c r="O106" s="874"/>
      <c r="P106" s="874"/>
      <c r="Q106" s="874"/>
      <c r="R106" s="874"/>
      <c r="S106" s="874"/>
      <c r="T106" s="874"/>
      <c r="W106" s="874"/>
      <c r="X106" s="874"/>
      <c r="Y106" s="874"/>
      <c r="Z106" s="874"/>
      <c r="AA106" s="874"/>
      <c r="AD106" s="526"/>
      <c r="AE106" s="526"/>
      <c r="AF106" s="526"/>
      <c r="AG106" s="526"/>
      <c r="AH106" s="526"/>
      <c r="AI106" s="526"/>
      <c r="AJ106" s="526"/>
      <c r="AK106" s="526"/>
      <c r="AL106" s="526"/>
      <c r="AM106" s="526"/>
      <c r="AN106" s="526"/>
      <c r="AO106" s="526"/>
      <c r="AP106" s="526"/>
      <c r="AQ106" s="526"/>
      <c r="AR106" s="526"/>
      <c r="AS106" s="526"/>
      <c r="AT106" s="526"/>
      <c r="AU106" s="526"/>
      <c r="AV106" s="526"/>
      <c r="AW106" s="526"/>
      <c r="AX106" s="526"/>
      <c r="AY106" s="526"/>
      <c r="AZ106" s="526"/>
      <c r="BA106" s="526"/>
      <c r="BB106" s="526"/>
      <c r="BC106" s="526"/>
      <c r="BD106" s="526"/>
      <c r="BE106" s="526"/>
      <c r="BF106" s="526"/>
      <c r="BG106" s="526"/>
    </row>
    <row r="107" spans="1:59" s="830" customFormat="1" ht="17.25" customHeight="1" x14ac:dyDescent="0.25">
      <c r="A107" s="865"/>
      <c r="B107" s="865"/>
      <c r="C107" s="908"/>
      <c r="G107" s="865"/>
      <c r="H107" s="874"/>
      <c r="I107" s="869"/>
      <c r="J107" s="869"/>
      <c r="K107" s="869"/>
      <c r="L107" s="869"/>
      <c r="M107" s="874"/>
      <c r="O107" s="874"/>
      <c r="P107" s="874"/>
      <c r="Q107" s="874"/>
      <c r="R107" s="874"/>
      <c r="S107" s="874"/>
      <c r="T107" s="874"/>
      <c r="W107" s="874"/>
      <c r="X107" s="874"/>
      <c r="Y107" s="874"/>
      <c r="Z107" s="874"/>
      <c r="AA107" s="874"/>
      <c r="AD107" s="526"/>
      <c r="AE107" s="526"/>
      <c r="AF107" s="526"/>
      <c r="AG107" s="526"/>
      <c r="AH107" s="526"/>
      <c r="AI107" s="526"/>
      <c r="AJ107" s="526"/>
      <c r="AK107" s="526"/>
      <c r="AL107" s="526"/>
      <c r="AM107" s="526"/>
      <c r="AN107" s="526"/>
      <c r="AO107" s="526"/>
      <c r="AP107" s="526"/>
      <c r="AQ107" s="526"/>
      <c r="AR107" s="526"/>
      <c r="AS107" s="526"/>
      <c r="AT107" s="526"/>
      <c r="AU107" s="526"/>
      <c r="AV107" s="526"/>
      <c r="AW107" s="526"/>
      <c r="AX107" s="526"/>
      <c r="AY107" s="526"/>
      <c r="AZ107" s="526"/>
      <c r="BA107" s="526"/>
      <c r="BB107" s="526"/>
      <c r="BC107" s="526"/>
      <c r="BD107" s="526"/>
      <c r="BE107" s="526"/>
      <c r="BF107" s="526"/>
      <c r="BG107" s="526"/>
    </row>
    <row r="108" spans="1:59" s="830" customFormat="1" ht="17.25" customHeight="1" x14ac:dyDescent="0.25">
      <c r="A108" s="865"/>
      <c r="B108" s="865"/>
      <c r="C108" s="908"/>
      <c r="G108" s="865"/>
      <c r="H108" s="874"/>
      <c r="I108" s="869"/>
      <c r="J108" s="869"/>
      <c r="K108" s="869"/>
      <c r="L108" s="869"/>
      <c r="M108" s="874"/>
      <c r="O108" s="874"/>
      <c r="P108" s="874"/>
      <c r="Q108" s="874"/>
      <c r="R108" s="874"/>
      <c r="S108" s="874"/>
      <c r="T108" s="874"/>
      <c r="W108" s="874"/>
      <c r="X108" s="874"/>
      <c r="Y108" s="874"/>
      <c r="Z108" s="874"/>
      <c r="AA108" s="874"/>
      <c r="AD108" s="526"/>
      <c r="AE108" s="526"/>
      <c r="AF108" s="526"/>
      <c r="AG108" s="526"/>
      <c r="AH108" s="526"/>
      <c r="AI108" s="526"/>
      <c r="AJ108" s="526"/>
      <c r="AK108" s="526"/>
      <c r="AL108" s="526"/>
      <c r="AM108" s="526"/>
      <c r="AN108" s="526"/>
      <c r="AO108" s="526"/>
      <c r="AP108" s="526"/>
      <c r="AQ108" s="526"/>
      <c r="AR108" s="526"/>
      <c r="AS108" s="526"/>
      <c r="AT108" s="526"/>
      <c r="AU108" s="526"/>
      <c r="AV108" s="526"/>
      <c r="AW108" s="526"/>
      <c r="AX108" s="526"/>
      <c r="AY108" s="526"/>
      <c r="AZ108" s="526"/>
      <c r="BA108" s="526"/>
      <c r="BB108" s="526"/>
      <c r="BC108" s="526"/>
      <c r="BD108" s="526"/>
      <c r="BE108" s="526"/>
      <c r="BF108" s="526"/>
      <c r="BG108" s="526"/>
    </row>
    <row r="109" spans="1:59" s="830" customFormat="1" ht="17.25" customHeight="1" x14ac:dyDescent="0.25">
      <c r="A109" s="865"/>
      <c r="B109" s="865"/>
      <c r="C109" s="908"/>
      <c r="G109" s="865"/>
      <c r="H109" s="874"/>
      <c r="I109" s="869"/>
      <c r="J109" s="869"/>
      <c r="K109" s="869"/>
      <c r="L109" s="869"/>
      <c r="M109" s="874"/>
      <c r="O109" s="874"/>
      <c r="P109" s="874"/>
      <c r="Q109" s="874"/>
      <c r="R109" s="874"/>
      <c r="S109" s="874"/>
      <c r="T109" s="874"/>
      <c r="W109" s="874"/>
      <c r="X109" s="874"/>
      <c r="Y109" s="874"/>
      <c r="Z109" s="874"/>
      <c r="AA109" s="874"/>
      <c r="AD109" s="526"/>
      <c r="AE109" s="526"/>
      <c r="AF109" s="526"/>
      <c r="AG109" s="526"/>
      <c r="AH109" s="526"/>
      <c r="AI109" s="526"/>
      <c r="AJ109" s="526"/>
      <c r="AK109" s="526"/>
      <c r="AL109" s="526"/>
      <c r="AM109" s="526"/>
      <c r="AN109" s="526"/>
      <c r="AO109" s="526"/>
      <c r="AP109" s="526"/>
      <c r="AQ109" s="526"/>
      <c r="AR109" s="526"/>
      <c r="AS109" s="526"/>
      <c r="AT109" s="526"/>
      <c r="AU109" s="526"/>
      <c r="AV109" s="526"/>
      <c r="AW109" s="526"/>
      <c r="AX109" s="526"/>
      <c r="AY109" s="526"/>
      <c r="AZ109" s="526"/>
      <c r="BA109" s="526"/>
      <c r="BB109" s="526"/>
      <c r="BC109" s="526"/>
      <c r="BD109" s="526"/>
      <c r="BE109" s="526"/>
      <c r="BF109" s="526"/>
      <c r="BG109" s="526"/>
    </row>
    <row r="110" spans="1:59" s="830" customFormat="1" ht="17.25" customHeight="1" x14ac:dyDescent="0.25">
      <c r="A110" s="865"/>
      <c r="B110" s="865"/>
      <c r="C110" s="908"/>
      <c r="G110" s="865"/>
      <c r="H110" s="874"/>
      <c r="I110" s="869"/>
      <c r="J110" s="869"/>
      <c r="K110" s="869"/>
      <c r="L110" s="869"/>
      <c r="M110" s="874"/>
      <c r="O110" s="874"/>
      <c r="P110" s="874"/>
      <c r="Q110" s="874"/>
      <c r="R110" s="874"/>
      <c r="S110" s="874"/>
      <c r="T110" s="874"/>
      <c r="W110" s="874"/>
      <c r="X110" s="874"/>
      <c r="Y110" s="874"/>
      <c r="Z110" s="874"/>
      <c r="AA110" s="874"/>
      <c r="AD110" s="526"/>
      <c r="AE110" s="526"/>
      <c r="AF110" s="526"/>
      <c r="AG110" s="526"/>
      <c r="AH110" s="526"/>
      <c r="AI110" s="526"/>
      <c r="AJ110" s="526"/>
      <c r="AK110" s="526"/>
      <c r="AL110" s="526"/>
      <c r="AM110" s="526"/>
      <c r="AN110" s="526"/>
      <c r="AO110" s="526"/>
      <c r="AP110" s="526"/>
      <c r="AQ110" s="526"/>
      <c r="AR110" s="526"/>
      <c r="AS110" s="526"/>
      <c r="AT110" s="526"/>
      <c r="AU110" s="526"/>
      <c r="AV110" s="526"/>
      <c r="AW110" s="526"/>
      <c r="AX110" s="526"/>
      <c r="AY110" s="526"/>
      <c r="AZ110" s="526"/>
      <c r="BA110" s="526"/>
      <c r="BB110" s="526"/>
      <c r="BC110" s="526"/>
      <c r="BD110" s="526"/>
      <c r="BE110" s="526"/>
      <c r="BF110" s="526"/>
      <c r="BG110" s="526"/>
    </row>
    <row r="111" spans="1:59" s="830" customFormat="1" ht="17.25" customHeight="1" x14ac:dyDescent="0.25">
      <c r="A111" s="865"/>
      <c r="B111" s="865"/>
      <c r="C111" s="908"/>
      <c r="G111" s="865"/>
      <c r="H111" s="874"/>
      <c r="I111" s="869"/>
      <c r="J111" s="869"/>
      <c r="K111" s="869"/>
      <c r="L111" s="869"/>
      <c r="M111" s="874"/>
      <c r="O111" s="874"/>
      <c r="P111" s="874"/>
      <c r="Q111" s="874"/>
      <c r="R111" s="874"/>
      <c r="S111" s="874"/>
      <c r="T111" s="874"/>
      <c r="W111" s="874"/>
      <c r="X111" s="874"/>
      <c r="Y111" s="874"/>
      <c r="Z111" s="874"/>
      <c r="AA111" s="874"/>
      <c r="AD111" s="526"/>
      <c r="AE111" s="526"/>
      <c r="AF111" s="526"/>
      <c r="AG111" s="526"/>
      <c r="AH111" s="526"/>
      <c r="AI111" s="526"/>
      <c r="AJ111" s="526"/>
      <c r="AK111" s="526"/>
      <c r="AL111" s="526"/>
      <c r="AM111" s="526"/>
      <c r="AN111" s="526"/>
      <c r="AO111" s="526"/>
      <c r="AP111" s="526"/>
      <c r="AQ111" s="526"/>
      <c r="AR111" s="526"/>
      <c r="AS111" s="526"/>
      <c r="AT111" s="526"/>
      <c r="AU111" s="526"/>
      <c r="AV111" s="526"/>
      <c r="AW111" s="526"/>
      <c r="AX111" s="526"/>
      <c r="AY111" s="526"/>
      <c r="AZ111" s="526"/>
      <c r="BA111" s="526"/>
      <c r="BB111" s="526"/>
      <c r="BC111" s="526"/>
      <c r="BD111" s="526"/>
      <c r="BE111" s="526"/>
      <c r="BF111" s="526"/>
      <c r="BG111" s="526"/>
    </row>
    <row r="112" spans="1:59" s="830" customFormat="1" ht="17.25" customHeight="1" x14ac:dyDescent="0.25">
      <c r="A112" s="865"/>
      <c r="B112" s="865"/>
      <c r="C112" s="908"/>
      <c r="G112" s="865"/>
      <c r="H112" s="874"/>
      <c r="I112" s="869"/>
      <c r="J112" s="869"/>
      <c r="K112" s="869"/>
      <c r="L112" s="869"/>
      <c r="M112" s="874"/>
      <c r="O112" s="874"/>
      <c r="P112" s="874"/>
      <c r="Q112" s="874"/>
      <c r="R112" s="874"/>
      <c r="S112" s="874"/>
      <c r="T112" s="874"/>
      <c r="W112" s="874"/>
      <c r="X112" s="874"/>
      <c r="Y112" s="874"/>
      <c r="Z112" s="874"/>
      <c r="AA112" s="874"/>
      <c r="AD112" s="526"/>
      <c r="AE112" s="526"/>
      <c r="AF112" s="526"/>
      <c r="AG112" s="526"/>
      <c r="AH112" s="526"/>
      <c r="AI112" s="526"/>
      <c r="AJ112" s="526"/>
      <c r="AK112" s="526"/>
      <c r="AL112" s="526"/>
      <c r="AM112" s="526"/>
      <c r="AN112" s="526"/>
      <c r="AO112" s="526"/>
      <c r="AP112" s="526"/>
      <c r="AQ112" s="526"/>
      <c r="AR112" s="526"/>
      <c r="AS112" s="526"/>
      <c r="AT112" s="526"/>
      <c r="AU112" s="526"/>
      <c r="AV112" s="526"/>
      <c r="AW112" s="526"/>
      <c r="AX112" s="526"/>
      <c r="AY112" s="526"/>
      <c r="AZ112" s="526"/>
      <c r="BA112" s="526"/>
      <c r="BB112" s="526"/>
      <c r="BC112" s="526"/>
      <c r="BD112" s="526"/>
      <c r="BE112" s="526"/>
      <c r="BF112" s="526"/>
      <c r="BG112" s="526"/>
    </row>
    <row r="113" spans="1:59" s="830" customFormat="1" ht="17.25" customHeight="1" x14ac:dyDescent="0.25">
      <c r="A113" s="865"/>
      <c r="B113" s="865"/>
      <c r="C113" s="908"/>
      <c r="G113" s="865"/>
      <c r="H113" s="874"/>
      <c r="I113" s="869"/>
      <c r="J113" s="869"/>
      <c r="K113" s="869"/>
      <c r="L113" s="869"/>
      <c r="M113" s="874"/>
      <c r="O113" s="874"/>
      <c r="P113" s="874"/>
      <c r="Q113" s="874"/>
      <c r="R113" s="874"/>
      <c r="S113" s="874"/>
      <c r="T113" s="874"/>
      <c r="W113" s="874"/>
      <c r="X113" s="874"/>
      <c r="Y113" s="874"/>
      <c r="Z113" s="874"/>
      <c r="AA113" s="874"/>
      <c r="AD113" s="526"/>
      <c r="AE113" s="526"/>
      <c r="AF113" s="526"/>
      <c r="AG113" s="526"/>
      <c r="AH113" s="526"/>
      <c r="AI113" s="526"/>
      <c r="AJ113" s="526"/>
      <c r="AK113" s="526"/>
      <c r="AL113" s="526"/>
      <c r="AM113" s="526"/>
      <c r="AN113" s="526"/>
      <c r="AO113" s="526"/>
      <c r="AP113" s="526"/>
      <c r="AQ113" s="526"/>
      <c r="AR113" s="526"/>
      <c r="AS113" s="526"/>
      <c r="AT113" s="526"/>
      <c r="AU113" s="526"/>
      <c r="AV113" s="526"/>
      <c r="AW113" s="526"/>
      <c r="AX113" s="526"/>
      <c r="AY113" s="526"/>
      <c r="AZ113" s="526"/>
      <c r="BA113" s="526"/>
      <c r="BB113" s="526"/>
      <c r="BC113" s="526"/>
      <c r="BD113" s="526"/>
      <c r="BE113" s="526"/>
      <c r="BF113" s="526"/>
      <c r="BG113" s="526"/>
    </row>
    <row r="114" spans="1:59" s="830" customFormat="1" ht="17.25" customHeight="1" x14ac:dyDescent="0.25">
      <c r="A114" s="865"/>
      <c r="B114" s="865"/>
      <c r="C114" s="908"/>
      <c r="G114" s="865"/>
      <c r="H114" s="874"/>
      <c r="I114" s="869"/>
      <c r="J114" s="869"/>
      <c r="K114" s="869"/>
      <c r="L114" s="869"/>
      <c r="M114" s="874"/>
      <c r="O114" s="874"/>
      <c r="P114" s="874"/>
      <c r="Q114" s="874"/>
      <c r="R114" s="874"/>
      <c r="S114" s="874"/>
      <c r="T114" s="874"/>
      <c r="W114" s="874"/>
      <c r="X114" s="874"/>
      <c r="Y114" s="874"/>
      <c r="Z114" s="874"/>
      <c r="AA114" s="874"/>
      <c r="AD114" s="526"/>
      <c r="AE114" s="526"/>
      <c r="AF114" s="526"/>
      <c r="AG114" s="526"/>
      <c r="AH114" s="526"/>
      <c r="AI114" s="526"/>
      <c r="AJ114" s="526"/>
      <c r="AK114" s="526"/>
      <c r="AL114" s="526"/>
      <c r="AM114" s="526"/>
      <c r="AN114" s="526"/>
      <c r="AO114" s="526"/>
      <c r="AP114" s="526"/>
      <c r="AQ114" s="526"/>
      <c r="AR114" s="526"/>
      <c r="AS114" s="526"/>
      <c r="AT114" s="526"/>
      <c r="AU114" s="526"/>
      <c r="AV114" s="526"/>
      <c r="AW114" s="526"/>
      <c r="AX114" s="526"/>
      <c r="AY114" s="526"/>
      <c r="AZ114" s="526"/>
      <c r="BA114" s="526"/>
      <c r="BB114" s="526"/>
      <c r="BC114" s="526"/>
      <c r="BD114" s="526"/>
      <c r="BE114" s="526"/>
      <c r="BF114" s="526"/>
      <c r="BG114" s="526"/>
    </row>
    <row r="115" spans="1:59" s="830" customFormat="1" ht="17.25" customHeight="1" x14ac:dyDescent="0.25">
      <c r="A115" s="865"/>
      <c r="B115" s="865"/>
      <c r="C115" s="908"/>
      <c r="G115" s="865"/>
      <c r="H115" s="874"/>
      <c r="I115" s="869"/>
      <c r="J115" s="869"/>
      <c r="K115" s="869"/>
      <c r="L115" s="869"/>
      <c r="M115" s="874"/>
      <c r="O115" s="874"/>
      <c r="P115" s="874"/>
      <c r="Q115" s="874"/>
      <c r="R115" s="874"/>
      <c r="S115" s="874"/>
      <c r="T115" s="874"/>
      <c r="W115" s="874"/>
      <c r="X115" s="874"/>
      <c r="Y115" s="874"/>
      <c r="Z115" s="874"/>
      <c r="AA115" s="874"/>
      <c r="AD115" s="526"/>
      <c r="AE115" s="526"/>
      <c r="AF115" s="526"/>
      <c r="AG115" s="526"/>
      <c r="AH115" s="526"/>
      <c r="AI115" s="526"/>
      <c r="AJ115" s="526"/>
      <c r="AK115" s="526"/>
      <c r="AL115" s="526"/>
      <c r="AM115" s="526"/>
      <c r="AN115" s="526"/>
      <c r="AO115" s="526"/>
      <c r="AP115" s="526"/>
      <c r="AQ115" s="526"/>
      <c r="AR115" s="526"/>
      <c r="AS115" s="526"/>
      <c r="AT115" s="526"/>
      <c r="AU115" s="526"/>
      <c r="AV115" s="526"/>
      <c r="AW115" s="526"/>
      <c r="AX115" s="526"/>
      <c r="AY115" s="526"/>
      <c r="AZ115" s="526"/>
      <c r="BA115" s="526"/>
      <c r="BB115" s="526"/>
      <c r="BC115" s="526"/>
      <c r="BD115" s="526"/>
      <c r="BE115" s="526"/>
      <c r="BF115" s="526"/>
      <c r="BG115" s="526"/>
    </row>
    <row r="116" spans="1:59" s="830" customFormat="1" ht="17.25" customHeight="1" x14ac:dyDescent="0.25">
      <c r="A116" s="865"/>
      <c r="B116" s="865"/>
      <c r="C116" s="908"/>
      <c r="G116" s="865"/>
      <c r="H116" s="874"/>
      <c r="I116" s="869"/>
      <c r="J116" s="869"/>
      <c r="K116" s="869"/>
      <c r="L116" s="869"/>
      <c r="M116" s="874"/>
      <c r="O116" s="874"/>
      <c r="P116" s="874"/>
      <c r="Q116" s="874"/>
      <c r="R116" s="874"/>
      <c r="S116" s="874"/>
      <c r="T116" s="874"/>
      <c r="W116" s="874"/>
      <c r="X116" s="874"/>
      <c r="Y116" s="874"/>
      <c r="Z116" s="874"/>
      <c r="AA116" s="874"/>
      <c r="AD116" s="526"/>
      <c r="AE116" s="526"/>
      <c r="AF116" s="526"/>
      <c r="AG116" s="526"/>
      <c r="AH116" s="526"/>
      <c r="AI116" s="526"/>
      <c r="AJ116" s="526"/>
      <c r="AK116" s="526"/>
      <c r="AL116" s="526"/>
      <c r="AM116" s="526"/>
      <c r="AN116" s="526"/>
      <c r="AO116" s="526"/>
      <c r="AP116" s="526"/>
      <c r="AQ116" s="526"/>
      <c r="AR116" s="526"/>
      <c r="AS116" s="526"/>
      <c r="AT116" s="526"/>
      <c r="AU116" s="526"/>
      <c r="AV116" s="526"/>
      <c r="AW116" s="526"/>
      <c r="AX116" s="526"/>
      <c r="AY116" s="526"/>
      <c r="AZ116" s="526"/>
      <c r="BA116" s="526"/>
      <c r="BB116" s="526"/>
      <c r="BC116" s="526"/>
      <c r="BD116" s="526"/>
      <c r="BE116" s="526"/>
      <c r="BF116" s="526"/>
      <c r="BG116" s="526"/>
    </row>
    <row r="117" spans="1:59" s="830" customFormat="1" ht="17.25" customHeight="1" x14ac:dyDescent="0.25">
      <c r="A117" s="865"/>
      <c r="B117" s="865"/>
      <c r="C117" s="908"/>
      <c r="G117" s="865"/>
      <c r="H117" s="874"/>
      <c r="I117" s="869"/>
      <c r="J117" s="869"/>
      <c r="K117" s="869"/>
      <c r="L117" s="869"/>
      <c r="M117" s="874"/>
      <c r="O117" s="874"/>
      <c r="P117" s="874"/>
      <c r="Q117" s="874"/>
      <c r="R117" s="874"/>
      <c r="S117" s="874"/>
      <c r="T117" s="874"/>
      <c r="W117" s="874"/>
      <c r="X117" s="874"/>
      <c r="Y117" s="874"/>
      <c r="Z117" s="874"/>
      <c r="AA117" s="874"/>
      <c r="AD117" s="526"/>
      <c r="AE117" s="526"/>
      <c r="AF117" s="526"/>
      <c r="AG117" s="526"/>
      <c r="AH117" s="526"/>
      <c r="AI117" s="526"/>
      <c r="AJ117" s="526"/>
      <c r="AK117" s="526"/>
      <c r="AL117" s="526"/>
      <c r="AM117" s="526"/>
      <c r="AN117" s="526"/>
      <c r="AO117" s="526"/>
      <c r="AP117" s="526"/>
      <c r="AQ117" s="526"/>
      <c r="AR117" s="526"/>
      <c r="AS117" s="526"/>
      <c r="AT117" s="526"/>
      <c r="AU117" s="526"/>
      <c r="AV117" s="526"/>
      <c r="AW117" s="526"/>
      <c r="AX117" s="526"/>
      <c r="AY117" s="526"/>
      <c r="AZ117" s="526"/>
      <c r="BA117" s="526"/>
      <c r="BB117" s="526"/>
      <c r="BC117" s="526"/>
      <c r="BD117" s="526"/>
      <c r="BE117" s="526"/>
      <c r="BF117" s="526"/>
      <c r="BG117" s="526"/>
    </row>
    <row r="118" spans="1:59" s="830" customFormat="1" ht="17.25" customHeight="1" x14ac:dyDescent="0.25">
      <c r="A118" s="865"/>
      <c r="B118" s="865"/>
      <c r="C118" s="908"/>
      <c r="G118" s="865"/>
      <c r="H118" s="874"/>
      <c r="I118" s="869"/>
      <c r="J118" s="869"/>
      <c r="K118" s="869"/>
      <c r="L118" s="869"/>
      <c r="M118" s="874"/>
      <c r="O118" s="874"/>
      <c r="P118" s="874"/>
      <c r="Q118" s="874"/>
      <c r="R118" s="874"/>
      <c r="S118" s="874"/>
      <c r="T118" s="874"/>
      <c r="W118" s="874"/>
      <c r="X118" s="874"/>
      <c r="Y118" s="874"/>
      <c r="Z118" s="874"/>
      <c r="AA118" s="874"/>
      <c r="AD118" s="526"/>
      <c r="AE118" s="526"/>
      <c r="AF118" s="526"/>
      <c r="AG118" s="526"/>
      <c r="AH118" s="526"/>
      <c r="AI118" s="526"/>
      <c r="AJ118" s="526"/>
      <c r="AK118" s="526"/>
      <c r="AL118" s="526"/>
      <c r="AM118" s="526"/>
      <c r="AN118" s="526"/>
      <c r="AO118" s="526"/>
      <c r="AP118" s="526"/>
      <c r="AQ118" s="526"/>
      <c r="AR118" s="526"/>
      <c r="AS118" s="526"/>
      <c r="AT118" s="526"/>
      <c r="AU118" s="526"/>
      <c r="AV118" s="526"/>
      <c r="AW118" s="526"/>
      <c r="AX118" s="526"/>
      <c r="AY118" s="526"/>
      <c r="AZ118" s="526"/>
      <c r="BA118" s="526"/>
      <c r="BB118" s="526"/>
      <c r="BC118" s="526"/>
      <c r="BD118" s="526"/>
      <c r="BE118" s="526"/>
      <c r="BF118" s="526"/>
      <c r="BG118" s="526"/>
    </row>
    <row r="119" spans="1:59" s="830" customFormat="1" ht="17.25" customHeight="1" x14ac:dyDescent="0.25">
      <c r="A119" s="865"/>
      <c r="B119" s="865"/>
      <c r="C119" s="908"/>
      <c r="G119" s="865"/>
      <c r="H119" s="874"/>
      <c r="I119" s="869"/>
      <c r="J119" s="869"/>
      <c r="K119" s="869"/>
      <c r="L119" s="869"/>
      <c r="M119" s="874"/>
      <c r="O119" s="874"/>
      <c r="P119" s="874"/>
      <c r="Q119" s="874"/>
      <c r="R119" s="874"/>
      <c r="S119" s="874"/>
      <c r="T119" s="874"/>
      <c r="W119" s="874"/>
      <c r="X119" s="874"/>
      <c r="Y119" s="874"/>
      <c r="Z119" s="874"/>
      <c r="AA119" s="874"/>
      <c r="AD119" s="526"/>
      <c r="AE119" s="526"/>
      <c r="AF119" s="526"/>
      <c r="AG119" s="526"/>
      <c r="AH119" s="526"/>
      <c r="AI119" s="526"/>
      <c r="AJ119" s="526"/>
      <c r="AK119" s="526"/>
      <c r="AL119" s="526"/>
      <c r="AM119" s="526"/>
      <c r="AN119" s="526"/>
      <c r="AO119" s="526"/>
      <c r="AP119" s="526"/>
      <c r="AQ119" s="526"/>
      <c r="AR119" s="526"/>
      <c r="AS119" s="526"/>
      <c r="AT119" s="526"/>
      <c r="AU119" s="526"/>
      <c r="AV119" s="526"/>
      <c r="AW119" s="526"/>
      <c r="AX119" s="526"/>
      <c r="AY119" s="526"/>
      <c r="AZ119" s="526"/>
      <c r="BA119" s="526"/>
      <c r="BB119" s="526"/>
      <c r="BC119" s="526"/>
      <c r="BD119" s="526"/>
      <c r="BE119" s="526"/>
      <c r="BF119" s="526"/>
      <c r="BG119" s="526"/>
    </row>
    <row r="120" spans="1:59" s="830" customFormat="1" ht="17.25" customHeight="1" x14ac:dyDescent="0.25">
      <c r="A120" s="865"/>
      <c r="B120" s="865"/>
      <c r="C120" s="908"/>
      <c r="G120" s="865"/>
      <c r="H120" s="874"/>
      <c r="I120" s="869"/>
      <c r="J120" s="869"/>
      <c r="K120" s="869"/>
      <c r="L120" s="869"/>
      <c r="M120" s="874"/>
      <c r="O120" s="874"/>
      <c r="P120" s="874"/>
      <c r="Q120" s="874"/>
      <c r="R120" s="874"/>
      <c r="S120" s="874"/>
      <c r="T120" s="874"/>
      <c r="W120" s="874"/>
      <c r="X120" s="874"/>
      <c r="Y120" s="874"/>
      <c r="Z120" s="874"/>
      <c r="AA120" s="874"/>
      <c r="AD120" s="526"/>
      <c r="AE120" s="526"/>
      <c r="AF120" s="526"/>
      <c r="AG120" s="526"/>
      <c r="AH120" s="526"/>
      <c r="AI120" s="526"/>
      <c r="AJ120" s="526"/>
      <c r="AK120" s="526"/>
      <c r="AL120" s="526"/>
      <c r="AM120" s="526"/>
      <c r="AN120" s="526"/>
      <c r="AO120" s="526"/>
      <c r="AP120" s="526"/>
      <c r="AQ120" s="526"/>
      <c r="AR120" s="526"/>
      <c r="AS120" s="526"/>
      <c r="AT120" s="526"/>
      <c r="AU120" s="526"/>
      <c r="AV120" s="526"/>
      <c r="AW120" s="526"/>
      <c r="AX120" s="526"/>
      <c r="AY120" s="526"/>
      <c r="AZ120" s="526"/>
      <c r="BA120" s="526"/>
      <c r="BB120" s="526"/>
      <c r="BC120" s="526"/>
      <c r="BD120" s="526"/>
      <c r="BE120" s="526"/>
      <c r="BF120" s="526"/>
      <c r="BG120" s="526"/>
    </row>
    <row r="121" spans="1:59" s="830" customFormat="1" ht="17.25" customHeight="1" x14ac:dyDescent="0.25">
      <c r="A121" s="865"/>
      <c r="B121" s="865"/>
      <c r="C121" s="908"/>
      <c r="G121" s="865"/>
      <c r="H121" s="874"/>
      <c r="I121" s="869"/>
      <c r="J121" s="869"/>
      <c r="K121" s="869"/>
      <c r="L121" s="869"/>
      <c r="M121" s="874"/>
      <c r="O121" s="874"/>
      <c r="P121" s="874"/>
      <c r="Q121" s="874"/>
      <c r="R121" s="874"/>
      <c r="S121" s="874"/>
      <c r="T121" s="874"/>
      <c r="W121" s="874"/>
      <c r="X121" s="874"/>
      <c r="Y121" s="874"/>
      <c r="Z121" s="874"/>
      <c r="AA121" s="874"/>
      <c r="AD121" s="526"/>
      <c r="AE121" s="526"/>
      <c r="AF121" s="526"/>
      <c r="AG121" s="526"/>
      <c r="AH121" s="526"/>
      <c r="AI121" s="526"/>
      <c r="AJ121" s="526"/>
      <c r="AK121" s="526"/>
      <c r="AL121" s="526"/>
      <c r="AM121" s="526"/>
      <c r="AN121" s="526"/>
      <c r="AO121" s="526"/>
      <c r="AP121" s="526"/>
      <c r="AQ121" s="526"/>
      <c r="AR121" s="526"/>
      <c r="AS121" s="526"/>
      <c r="AT121" s="526"/>
      <c r="AU121" s="526"/>
      <c r="AV121" s="526"/>
      <c r="AW121" s="526"/>
      <c r="AX121" s="526"/>
      <c r="AY121" s="526"/>
      <c r="AZ121" s="526"/>
      <c r="BA121" s="526"/>
      <c r="BB121" s="526"/>
      <c r="BC121" s="526"/>
      <c r="BD121" s="526"/>
      <c r="BE121" s="526"/>
      <c r="BF121" s="526"/>
      <c r="BG121" s="526"/>
    </row>
    <row r="122" spans="1:59" s="830" customFormat="1" ht="17.25" customHeight="1" x14ac:dyDescent="0.25">
      <c r="A122" s="865"/>
      <c r="B122" s="865"/>
      <c r="C122" s="908"/>
      <c r="G122" s="865"/>
      <c r="H122" s="874"/>
      <c r="I122" s="869"/>
      <c r="J122" s="869"/>
      <c r="K122" s="869"/>
      <c r="L122" s="869"/>
      <c r="M122" s="874"/>
      <c r="O122" s="874"/>
      <c r="P122" s="874"/>
      <c r="Q122" s="874"/>
      <c r="R122" s="874"/>
      <c r="S122" s="874"/>
      <c r="T122" s="874"/>
      <c r="W122" s="874"/>
      <c r="X122" s="874"/>
      <c r="Y122" s="874"/>
      <c r="Z122" s="874"/>
      <c r="AA122" s="874"/>
      <c r="AD122" s="526"/>
      <c r="AE122" s="526"/>
      <c r="AF122" s="526"/>
      <c r="AG122" s="526"/>
      <c r="AH122" s="526"/>
      <c r="AI122" s="526"/>
      <c r="AJ122" s="526"/>
      <c r="AK122" s="526"/>
      <c r="AL122" s="526"/>
      <c r="AM122" s="526"/>
      <c r="AN122" s="526"/>
      <c r="AO122" s="526"/>
      <c r="AP122" s="526"/>
      <c r="AQ122" s="526"/>
      <c r="AR122" s="526"/>
      <c r="AS122" s="526"/>
      <c r="AT122" s="526"/>
      <c r="AU122" s="526"/>
      <c r="AV122" s="526"/>
      <c r="AW122" s="526"/>
      <c r="AX122" s="526"/>
      <c r="AY122" s="526"/>
      <c r="AZ122" s="526"/>
      <c r="BA122" s="526"/>
      <c r="BB122" s="526"/>
      <c r="BC122" s="526"/>
      <c r="BD122" s="526"/>
      <c r="BE122" s="526"/>
      <c r="BF122" s="526"/>
      <c r="BG122" s="526"/>
    </row>
    <row r="123" spans="1:59" s="830" customFormat="1" ht="17.25" customHeight="1" x14ac:dyDescent="0.25">
      <c r="A123" s="865"/>
      <c r="B123" s="865"/>
      <c r="C123" s="908"/>
      <c r="G123" s="865"/>
      <c r="H123" s="874"/>
      <c r="I123" s="869"/>
      <c r="J123" s="869"/>
      <c r="K123" s="869"/>
      <c r="L123" s="869"/>
      <c r="M123" s="874"/>
      <c r="O123" s="874"/>
      <c r="P123" s="874"/>
      <c r="Q123" s="874"/>
      <c r="R123" s="874"/>
      <c r="S123" s="874"/>
      <c r="T123" s="874"/>
      <c r="W123" s="874"/>
      <c r="X123" s="874"/>
      <c r="Y123" s="874"/>
      <c r="Z123" s="874"/>
      <c r="AA123" s="874"/>
      <c r="AD123" s="526"/>
      <c r="AE123" s="526"/>
      <c r="AF123" s="526"/>
      <c r="AG123" s="526"/>
      <c r="AH123" s="526"/>
      <c r="AI123" s="526"/>
      <c r="AJ123" s="526"/>
      <c r="AK123" s="526"/>
      <c r="AL123" s="526"/>
      <c r="AM123" s="526"/>
      <c r="AN123" s="526"/>
      <c r="AO123" s="526"/>
      <c r="AP123" s="526"/>
      <c r="AQ123" s="526"/>
      <c r="AR123" s="526"/>
      <c r="AS123" s="526"/>
      <c r="AT123" s="526"/>
      <c r="AU123" s="526"/>
      <c r="AV123" s="526"/>
      <c r="AW123" s="526"/>
      <c r="AX123" s="526"/>
      <c r="AY123" s="526"/>
      <c r="AZ123" s="526"/>
      <c r="BA123" s="526"/>
      <c r="BB123" s="526"/>
      <c r="BC123" s="526"/>
      <c r="BD123" s="526"/>
      <c r="BE123" s="526"/>
      <c r="BF123" s="526"/>
      <c r="BG123" s="526"/>
    </row>
    <row r="124" spans="1:59" s="830" customFormat="1" ht="17.25" customHeight="1" x14ac:dyDescent="0.25">
      <c r="A124" s="865"/>
      <c r="B124" s="865"/>
      <c r="C124" s="908"/>
      <c r="G124" s="865"/>
      <c r="H124" s="874"/>
      <c r="I124" s="869"/>
      <c r="J124" s="869"/>
      <c r="K124" s="869"/>
      <c r="L124" s="869"/>
      <c r="M124" s="874"/>
      <c r="O124" s="874"/>
      <c r="P124" s="874"/>
      <c r="Q124" s="874"/>
      <c r="R124" s="874"/>
      <c r="S124" s="874"/>
      <c r="T124" s="874"/>
      <c r="W124" s="874"/>
      <c r="X124" s="874"/>
      <c r="Y124" s="874"/>
      <c r="Z124" s="874"/>
      <c r="AA124" s="874"/>
      <c r="AD124" s="526"/>
      <c r="AE124" s="526"/>
      <c r="AF124" s="526"/>
      <c r="AG124" s="526"/>
      <c r="AH124" s="526"/>
      <c r="AI124" s="526"/>
      <c r="AJ124" s="526"/>
      <c r="AK124" s="526"/>
      <c r="AL124" s="526"/>
      <c r="AM124" s="526"/>
      <c r="AN124" s="526"/>
      <c r="AO124" s="526"/>
      <c r="AP124" s="526"/>
      <c r="AQ124" s="526"/>
      <c r="AR124" s="526"/>
      <c r="AS124" s="526"/>
      <c r="AT124" s="526"/>
      <c r="AU124" s="526"/>
      <c r="AV124" s="526"/>
      <c r="AW124" s="526"/>
      <c r="AX124" s="526"/>
      <c r="AY124" s="526"/>
      <c r="AZ124" s="526"/>
      <c r="BA124" s="526"/>
      <c r="BB124" s="526"/>
      <c r="BC124" s="526"/>
      <c r="BD124" s="526"/>
      <c r="BE124" s="526"/>
      <c r="BF124" s="526"/>
      <c r="BG124" s="526"/>
    </row>
    <row r="125" spans="1:59" s="830" customFormat="1" ht="17.25" customHeight="1" x14ac:dyDescent="0.25">
      <c r="A125" s="865"/>
      <c r="B125" s="865"/>
      <c r="C125" s="908"/>
      <c r="G125" s="865"/>
      <c r="H125" s="874"/>
      <c r="I125" s="869"/>
      <c r="J125" s="869"/>
      <c r="K125" s="869"/>
      <c r="L125" s="869"/>
      <c r="M125" s="874"/>
      <c r="O125" s="874"/>
      <c r="P125" s="874"/>
      <c r="Q125" s="874"/>
      <c r="R125" s="874"/>
      <c r="S125" s="874"/>
      <c r="T125" s="874"/>
      <c r="W125" s="874"/>
      <c r="X125" s="874"/>
      <c r="Y125" s="874"/>
      <c r="Z125" s="874"/>
      <c r="AA125" s="874"/>
      <c r="AD125" s="526"/>
      <c r="AE125" s="526"/>
      <c r="AF125" s="526"/>
      <c r="AG125" s="526"/>
      <c r="AH125" s="526"/>
      <c r="AI125" s="526"/>
      <c r="AJ125" s="526"/>
      <c r="AK125" s="526"/>
      <c r="AL125" s="526"/>
      <c r="AM125" s="526"/>
      <c r="AN125" s="526"/>
      <c r="AO125" s="526"/>
      <c r="AP125" s="526"/>
      <c r="AQ125" s="526"/>
      <c r="AR125" s="526"/>
      <c r="AS125" s="526"/>
      <c r="AT125" s="526"/>
      <c r="AU125" s="526"/>
      <c r="AV125" s="526"/>
      <c r="AW125" s="526"/>
      <c r="AX125" s="526"/>
      <c r="AY125" s="526"/>
      <c r="AZ125" s="526"/>
      <c r="BA125" s="526"/>
      <c r="BB125" s="526"/>
      <c r="BC125" s="526"/>
      <c r="BD125" s="526"/>
      <c r="BE125" s="526"/>
      <c r="BF125" s="526"/>
      <c r="BG125" s="526"/>
    </row>
    <row r="126" spans="1:59" s="830" customFormat="1" ht="17.25" customHeight="1" x14ac:dyDescent="0.25">
      <c r="A126" s="865"/>
      <c r="B126" s="865"/>
      <c r="C126" s="908"/>
      <c r="G126" s="865"/>
      <c r="H126" s="874"/>
      <c r="I126" s="869"/>
      <c r="J126" s="869"/>
      <c r="K126" s="869"/>
      <c r="L126" s="869"/>
      <c r="M126" s="874"/>
      <c r="O126" s="874"/>
      <c r="P126" s="874"/>
      <c r="Q126" s="874"/>
      <c r="R126" s="874"/>
      <c r="S126" s="874"/>
      <c r="T126" s="874"/>
      <c r="W126" s="874"/>
      <c r="X126" s="874"/>
      <c r="Y126" s="874"/>
      <c r="Z126" s="874"/>
      <c r="AA126" s="874"/>
      <c r="AD126" s="526"/>
      <c r="AE126" s="526"/>
      <c r="AF126" s="526"/>
      <c r="AG126" s="526"/>
      <c r="AH126" s="526"/>
      <c r="AI126" s="526"/>
      <c r="AJ126" s="526"/>
      <c r="AK126" s="526"/>
      <c r="AL126" s="526"/>
      <c r="AM126" s="526"/>
      <c r="AN126" s="526"/>
      <c r="AO126" s="526"/>
      <c r="AP126" s="526"/>
      <c r="AQ126" s="526"/>
      <c r="AR126" s="526"/>
      <c r="AS126" s="526"/>
      <c r="AT126" s="526"/>
      <c r="AU126" s="526"/>
      <c r="AV126" s="526"/>
      <c r="AW126" s="526"/>
      <c r="AX126" s="526"/>
      <c r="AY126" s="526"/>
      <c r="AZ126" s="526"/>
      <c r="BA126" s="526"/>
      <c r="BB126" s="526"/>
      <c r="BC126" s="526"/>
      <c r="BD126" s="526"/>
      <c r="BE126" s="526"/>
      <c r="BF126" s="526"/>
      <c r="BG126" s="526"/>
    </row>
    <row r="127" spans="1:59" s="830" customFormat="1" ht="17.25" customHeight="1" x14ac:dyDescent="0.25">
      <c r="A127" s="865"/>
      <c r="B127" s="865"/>
      <c r="C127" s="908"/>
      <c r="G127" s="865"/>
      <c r="H127" s="874"/>
      <c r="I127" s="869"/>
      <c r="J127" s="869"/>
      <c r="K127" s="869"/>
      <c r="L127" s="869"/>
      <c r="M127" s="874"/>
      <c r="O127" s="874"/>
      <c r="P127" s="874"/>
      <c r="Q127" s="874"/>
      <c r="R127" s="874"/>
      <c r="S127" s="874"/>
      <c r="T127" s="874"/>
      <c r="W127" s="874"/>
      <c r="X127" s="874"/>
      <c r="Y127" s="874"/>
      <c r="Z127" s="874"/>
      <c r="AA127" s="874"/>
      <c r="AD127" s="526"/>
      <c r="AE127" s="526"/>
      <c r="AF127" s="526"/>
      <c r="AG127" s="526"/>
      <c r="AH127" s="526"/>
      <c r="AI127" s="526"/>
      <c r="AJ127" s="526"/>
      <c r="AK127" s="526"/>
      <c r="AL127" s="526"/>
      <c r="AM127" s="526"/>
      <c r="AN127" s="526"/>
      <c r="AO127" s="526"/>
      <c r="AP127" s="526"/>
      <c r="AQ127" s="526"/>
      <c r="AR127" s="526"/>
      <c r="AS127" s="526"/>
      <c r="AT127" s="526"/>
      <c r="AU127" s="526"/>
      <c r="AV127" s="526"/>
      <c r="AW127" s="526"/>
      <c r="AX127" s="526"/>
      <c r="AY127" s="526"/>
      <c r="AZ127" s="526"/>
      <c r="BA127" s="526"/>
      <c r="BB127" s="526"/>
      <c r="BC127" s="526"/>
      <c r="BD127" s="526"/>
      <c r="BE127" s="526"/>
      <c r="BF127" s="526"/>
      <c r="BG127" s="526"/>
    </row>
    <row r="128" spans="1:59" s="830" customFormat="1" ht="17.25" customHeight="1" x14ac:dyDescent="0.25">
      <c r="A128" s="865"/>
      <c r="B128" s="865"/>
      <c r="C128" s="908"/>
      <c r="G128" s="865"/>
      <c r="H128" s="874"/>
      <c r="I128" s="869"/>
      <c r="J128" s="869"/>
      <c r="K128" s="869"/>
      <c r="L128" s="869"/>
      <c r="M128" s="874"/>
      <c r="O128" s="874"/>
      <c r="P128" s="874"/>
      <c r="Q128" s="874"/>
      <c r="R128" s="874"/>
      <c r="S128" s="874"/>
      <c r="T128" s="874"/>
      <c r="W128" s="874"/>
      <c r="X128" s="874"/>
      <c r="Y128" s="874"/>
      <c r="Z128" s="874"/>
      <c r="AA128" s="874"/>
      <c r="AD128" s="526"/>
      <c r="AE128" s="526"/>
      <c r="AF128" s="526"/>
      <c r="AG128" s="526"/>
      <c r="AH128" s="526"/>
      <c r="AI128" s="526"/>
      <c r="AJ128" s="526"/>
      <c r="AK128" s="526"/>
      <c r="AL128" s="526"/>
      <c r="AM128" s="526"/>
      <c r="AN128" s="526"/>
      <c r="AO128" s="526"/>
      <c r="AP128" s="526"/>
      <c r="AQ128" s="526"/>
      <c r="AR128" s="526"/>
      <c r="AS128" s="526"/>
      <c r="AT128" s="526"/>
      <c r="AU128" s="526"/>
      <c r="AV128" s="526"/>
      <c r="AW128" s="526"/>
      <c r="AX128" s="526"/>
      <c r="AY128" s="526"/>
      <c r="AZ128" s="526"/>
      <c r="BA128" s="526"/>
      <c r="BB128" s="526"/>
      <c r="BC128" s="526"/>
      <c r="BD128" s="526"/>
      <c r="BE128" s="526"/>
      <c r="BF128" s="526"/>
      <c r="BG128" s="526"/>
    </row>
    <row r="129" spans="1:59" s="830" customFormat="1" ht="17.25" customHeight="1" x14ac:dyDescent="0.25">
      <c r="A129" s="865"/>
      <c r="B129" s="865"/>
      <c r="C129" s="908"/>
      <c r="G129" s="865"/>
      <c r="H129" s="874"/>
      <c r="I129" s="869"/>
      <c r="J129" s="869"/>
      <c r="K129" s="869"/>
      <c r="L129" s="869"/>
      <c r="M129" s="874"/>
      <c r="O129" s="874"/>
      <c r="P129" s="874"/>
      <c r="Q129" s="874"/>
      <c r="R129" s="874"/>
      <c r="S129" s="874"/>
      <c r="T129" s="874"/>
      <c r="W129" s="874"/>
      <c r="X129" s="874"/>
      <c r="Y129" s="874"/>
      <c r="Z129" s="874"/>
      <c r="AA129" s="874"/>
      <c r="AD129" s="526"/>
      <c r="AE129" s="526"/>
      <c r="AF129" s="526"/>
      <c r="AG129" s="526"/>
      <c r="AH129" s="526"/>
      <c r="AI129" s="526"/>
      <c r="AJ129" s="526"/>
      <c r="AK129" s="526"/>
      <c r="AL129" s="526"/>
      <c r="AM129" s="526"/>
      <c r="AN129" s="526"/>
      <c r="AO129" s="526"/>
      <c r="AP129" s="526"/>
      <c r="AQ129" s="526"/>
      <c r="AR129" s="526"/>
      <c r="AS129" s="526"/>
      <c r="AT129" s="526"/>
      <c r="AU129" s="526"/>
      <c r="AV129" s="526"/>
      <c r="AW129" s="526"/>
      <c r="AX129" s="526"/>
      <c r="AY129" s="526"/>
      <c r="AZ129" s="526"/>
      <c r="BA129" s="526"/>
      <c r="BB129" s="526"/>
      <c r="BC129" s="526"/>
      <c r="BD129" s="526"/>
      <c r="BE129" s="526"/>
      <c r="BF129" s="526"/>
      <c r="BG129" s="526"/>
    </row>
    <row r="130" spans="1:59" s="830" customFormat="1" ht="17.25" customHeight="1" x14ac:dyDescent="0.25">
      <c r="A130" s="865"/>
      <c r="B130" s="865"/>
      <c r="C130" s="908"/>
      <c r="G130" s="865"/>
      <c r="H130" s="874"/>
      <c r="I130" s="869"/>
      <c r="J130" s="869"/>
      <c r="K130" s="869"/>
      <c r="L130" s="869"/>
      <c r="M130" s="874"/>
      <c r="O130" s="874"/>
      <c r="P130" s="874"/>
      <c r="Q130" s="874"/>
      <c r="R130" s="874"/>
      <c r="S130" s="874"/>
      <c r="T130" s="874"/>
      <c r="W130" s="874"/>
      <c r="X130" s="874"/>
      <c r="Y130" s="874"/>
      <c r="Z130" s="874"/>
      <c r="AA130" s="874"/>
      <c r="AD130" s="526"/>
      <c r="AE130" s="526"/>
      <c r="AF130" s="526"/>
      <c r="AG130" s="526"/>
      <c r="AH130" s="526"/>
      <c r="AI130" s="526"/>
      <c r="AJ130" s="526"/>
      <c r="AK130" s="526"/>
      <c r="AL130" s="526"/>
      <c r="AM130" s="526"/>
      <c r="AN130" s="526"/>
      <c r="AO130" s="526"/>
      <c r="AP130" s="526"/>
      <c r="AQ130" s="526"/>
      <c r="AR130" s="526"/>
      <c r="AS130" s="526"/>
      <c r="AT130" s="526"/>
      <c r="AU130" s="526"/>
      <c r="AV130" s="526"/>
      <c r="AW130" s="526"/>
      <c r="AX130" s="526"/>
      <c r="AY130" s="526"/>
      <c r="AZ130" s="526"/>
      <c r="BA130" s="526"/>
      <c r="BB130" s="526"/>
      <c r="BC130" s="526"/>
      <c r="BD130" s="526"/>
      <c r="BE130" s="526"/>
      <c r="BF130" s="526"/>
      <c r="BG130" s="526"/>
    </row>
    <row r="131" spans="1:59" s="830" customFormat="1" ht="17.25" customHeight="1" x14ac:dyDescent="0.25">
      <c r="A131" s="865"/>
      <c r="B131" s="865"/>
      <c r="C131" s="908"/>
      <c r="G131" s="865"/>
      <c r="H131" s="874"/>
      <c r="I131" s="869"/>
      <c r="J131" s="869"/>
      <c r="K131" s="869"/>
      <c r="L131" s="869"/>
      <c r="M131" s="874"/>
      <c r="O131" s="874"/>
      <c r="P131" s="874"/>
      <c r="Q131" s="874"/>
      <c r="R131" s="874"/>
      <c r="S131" s="874"/>
      <c r="T131" s="874"/>
      <c r="W131" s="874"/>
      <c r="X131" s="874"/>
      <c r="Y131" s="874"/>
      <c r="Z131" s="874"/>
      <c r="AA131" s="874"/>
      <c r="AD131" s="526"/>
      <c r="AE131" s="526"/>
      <c r="AF131" s="526"/>
      <c r="AG131" s="526"/>
      <c r="AH131" s="526"/>
      <c r="AI131" s="526"/>
      <c r="AJ131" s="526"/>
      <c r="AK131" s="526"/>
      <c r="AL131" s="526"/>
      <c r="AM131" s="526"/>
      <c r="AN131" s="526"/>
      <c r="AO131" s="526"/>
      <c r="AP131" s="526"/>
      <c r="AQ131" s="526"/>
      <c r="AR131" s="526"/>
      <c r="AS131" s="526"/>
      <c r="AT131" s="526"/>
      <c r="AU131" s="526"/>
      <c r="AV131" s="526"/>
      <c r="AW131" s="526"/>
      <c r="AX131" s="526"/>
      <c r="AY131" s="526"/>
      <c r="AZ131" s="526"/>
      <c r="BA131" s="526"/>
      <c r="BB131" s="526"/>
      <c r="BC131" s="526"/>
      <c r="BD131" s="526"/>
      <c r="BE131" s="526"/>
      <c r="BF131" s="526"/>
      <c r="BG131" s="526"/>
    </row>
    <row r="132" spans="1:59" s="830" customFormat="1" ht="17.25" customHeight="1" x14ac:dyDescent="0.25">
      <c r="A132" s="865"/>
      <c r="B132" s="865"/>
      <c r="C132" s="908"/>
      <c r="G132" s="865"/>
      <c r="H132" s="874"/>
      <c r="I132" s="869"/>
      <c r="J132" s="869"/>
      <c r="K132" s="869"/>
      <c r="L132" s="869"/>
      <c r="M132" s="874"/>
      <c r="O132" s="874"/>
      <c r="P132" s="874"/>
      <c r="Q132" s="874"/>
      <c r="R132" s="874"/>
      <c r="S132" s="874"/>
      <c r="T132" s="874"/>
      <c r="W132" s="874"/>
      <c r="X132" s="874"/>
      <c r="Y132" s="874"/>
      <c r="Z132" s="874"/>
      <c r="AA132" s="874"/>
      <c r="AD132" s="526"/>
      <c r="AE132" s="526"/>
      <c r="AF132" s="526"/>
      <c r="AG132" s="526"/>
      <c r="AH132" s="526"/>
      <c r="AI132" s="526"/>
      <c r="AJ132" s="526"/>
      <c r="AK132" s="526"/>
      <c r="AL132" s="526"/>
      <c r="AM132" s="526"/>
      <c r="AN132" s="526"/>
      <c r="AO132" s="526"/>
      <c r="AP132" s="526"/>
      <c r="AQ132" s="526"/>
      <c r="AR132" s="526"/>
      <c r="AS132" s="526"/>
      <c r="AT132" s="526"/>
      <c r="AU132" s="526"/>
      <c r="AV132" s="526"/>
      <c r="AW132" s="526"/>
      <c r="AX132" s="526"/>
      <c r="AY132" s="526"/>
      <c r="AZ132" s="526"/>
      <c r="BA132" s="526"/>
      <c r="BB132" s="526"/>
      <c r="BC132" s="526"/>
      <c r="BD132" s="526"/>
      <c r="BE132" s="526"/>
      <c r="BF132" s="526"/>
      <c r="BG132" s="526"/>
    </row>
    <row r="133" spans="1:59" s="830" customFormat="1" ht="17.25" customHeight="1" x14ac:dyDescent="0.25">
      <c r="A133" s="865"/>
      <c r="B133" s="865"/>
      <c r="C133" s="908"/>
      <c r="G133" s="865"/>
      <c r="H133" s="874"/>
      <c r="I133" s="869"/>
      <c r="J133" s="869"/>
      <c r="K133" s="869"/>
      <c r="L133" s="869"/>
      <c r="M133" s="874"/>
      <c r="O133" s="874"/>
      <c r="P133" s="874"/>
      <c r="Q133" s="874"/>
      <c r="R133" s="874"/>
      <c r="S133" s="874"/>
      <c r="T133" s="874"/>
      <c r="W133" s="874"/>
      <c r="X133" s="874"/>
      <c r="Y133" s="874"/>
      <c r="Z133" s="874"/>
      <c r="AA133" s="874"/>
      <c r="AD133" s="526"/>
      <c r="AE133" s="526"/>
      <c r="AF133" s="526"/>
      <c r="AG133" s="526"/>
      <c r="AH133" s="526"/>
      <c r="AI133" s="526"/>
      <c r="AJ133" s="526"/>
      <c r="AK133" s="526"/>
      <c r="AL133" s="526"/>
      <c r="AM133" s="526"/>
      <c r="AN133" s="526"/>
      <c r="AO133" s="526"/>
      <c r="AP133" s="526"/>
      <c r="AQ133" s="526"/>
      <c r="AR133" s="526"/>
      <c r="AS133" s="526"/>
      <c r="AT133" s="526"/>
      <c r="AU133" s="526"/>
      <c r="AV133" s="526"/>
      <c r="AW133" s="526"/>
      <c r="AX133" s="526"/>
      <c r="AY133" s="526"/>
      <c r="AZ133" s="526"/>
      <c r="BA133" s="526"/>
      <c r="BB133" s="526"/>
      <c r="BC133" s="526"/>
      <c r="BD133" s="526"/>
      <c r="BE133" s="526"/>
      <c r="BF133" s="526"/>
      <c r="BG133" s="526"/>
    </row>
    <row r="134" spans="1:59" s="830" customFormat="1" ht="17.25" customHeight="1" x14ac:dyDescent="0.25">
      <c r="A134" s="865"/>
      <c r="B134" s="865"/>
      <c r="C134" s="908"/>
      <c r="G134" s="865"/>
      <c r="H134" s="874"/>
      <c r="I134" s="869"/>
      <c r="J134" s="869"/>
      <c r="K134" s="869"/>
      <c r="L134" s="869"/>
      <c r="M134" s="874"/>
      <c r="O134" s="874"/>
      <c r="P134" s="874"/>
      <c r="Q134" s="874"/>
      <c r="R134" s="874"/>
      <c r="S134" s="874"/>
      <c r="T134" s="874"/>
      <c r="W134" s="874"/>
      <c r="X134" s="874"/>
      <c r="Y134" s="874"/>
      <c r="Z134" s="874"/>
      <c r="AA134" s="874"/>
      <c r="AD134" s="526"/>
      <c r="AE134" s="526"/>
      <c r="AF134" s="526"/>
      <c r="AG134" s="526"/>
      <c r="AH134" s="526"/>
      <c r="AI134" s="526"/>
      <c r="AJ134" s="526"/>
      <c r="AK134" s="526"/>
      <c r="AL134" s="526"/>
      <c r="AM134" s="526"/>
      <c r="AN134" s="526"/>
      <c r="AO134" s="526"/>
      <c r="AP134" s="526"/>
      <c r="AQ134" s="526"/>
      <c r="AR134" s="526"/>
      <c r="AS134" s="526"/>
      <c r="AT134" s="526"/>
      <c r="AU134" s="526"/>
      <c r="AV134" s="526"/>
      <c r="AW134" s="526"/>
      <c r="AX134" s="526"/>
      <c r="AY134" s="526"/>
      <c r="AZ134" s="526"/>
      <c r="BA134" s="526"/>
      <c r="BB134" s="526"/>
      <c r="BC134" s="526"/>
      <c r="BD134" s="526"/>
      <c r="BE134" s="526"/>
      <c r="BF134" s="526"/>
      <c r="BG134" s="526"/>
    </row>
    <row r="135" spans="1:59" s="830" customFormat="1" ht="17.25" customHeight="1" x14ac:dyDescent="0.25">
      <c r="A135" s="865"/>
      <c r="B135" s="865"/>
      <c r="C135" s="908"/>
      <c r="G135" s="865"/>
      <c r="H135" s="874"/>
      <c r="I135" s="869"/>
      <c r="J135" s="869"/>
      <c r="K135" s="869"/>
      <c r="L135" s="869"/>
      <c r="M135" s="874"/>
      <c r="O135" s="874"/>
      <c r="P135" s="874"/>
      <c r="Q135" s="874"/>
      <c r="R135" s="874"/>
      <c r="S135" s="874"/>
      <c r="T135" s="874"/>
      <c r="W135" s="874"/>
      <c r="X135" s="874"/>
      <c r="Y135" s="874"/>
      <c r="Z135" s="874"/>
      <c r="AA135" s="874"/>
      <c r="AD135" s="526"/>
      <c r="AE135" s="526"/>
      <c r="AF135" s="526"/>
      <c r="AG135" s="526"/>
      <c r="AH135" s="526"/>
      <c r="AI135" s="526"/>
      <c r="AJ135" s="526"/>
      <c r="AK135" s="526"/>
      <c r="AL135" s="526"/>
      <c r="AM135" s="526"/>
      <c r="AN135" s="526"/>
      <c r="AO135" s="526"/>
      <c r="AP135" s="526"/>
      <c r="AQ135" s="526"/>
      <c r="AR135" s="526"/>
      <c r="AS135" s="526"/>
      <c r="AT135" s="526"/>
      <c r="AU135" s="526"/>
      <c r="AV135" s="526"/>
      <c r="AW135" s="526"/>
      <c r="AX135" s="526"/>
      <c r="AY135" s="526"/>
      <c r="AZ135" s="526"/>
      <c r="BA135" s="526"/>
      <c r="BB135" s="526"/>
      <c r="BC135" s="526"/>
      <c r="BD135" s="526"/>
      <c r="BE135" s="526"/>
      <c r="BF135" s="526"/>
      <c r="BG135" s="526"/>
    </row>
    <row r="136" spans="1:59" s="830" customFormat="1" ht="17.25" customHeight="1" x14ac:dyDescent="0.25">
      <c r="A136" s="865"/>
      <c r="B136" s="865"/>
      <c r="C136" s="908"/>
      <c r="G136" s="865"/>
      <c r="H136" s="874"/>
      <c r="I136" s="869"/>
      <c r="J136" s="869"/>
      <c r="K136" s="869"/>
      <c r="L136" s="869"/>
      <c r="M136" s="874"/>
      <c r="O136" s="874"/>
      <c r="P136" s="874"/>
      <c r="Q136" s="874"/>
      <c r="R136" s="874"/>
      <c r="S136" s="874"/>
      <c r="T136" s="874"/>
      <c r="W136" s="874"/>
      <c r="X136" s="874"/>
      <c r="Y136" s="874"/>
      <c r="Z136" s="874"/>
      <c r="AA136" s="874"/>
      <c r="AD136" s="526"/>
      <c r="AE136" s="526"/>
      <c r="AF136" s="526"/>
      <c r="AG136" s="526"/>
      <c r="AH136" s="526"/>
      <c r="AI136" s="526"/>
      <c r="AJ136" s="526"/>
      <c r="AK136" s="526"/>
      <c r="AL136" s="526"/>
      <c r="AM136" s="526"/>
      <c r="AN136" s="526"/>
      <c r="AO136" s="526"/>
      <c r="AP136" s="526"/>
      <c r="AQ136" s="526"/>
      <c r="AR136" s="526"/>
      <c r="AS136" s="526"/>
      <c r="AT136" s="526"/>
      <c r="AU136" s="526"/>
      <c r="AV136" s="526"/>
      <c r="AW136" s="526"/>
      <c r="AX136" s="526"/>
      <c r="AY136" s="526"/>
      <c r="AZ136" s="526"/>
      <c r="BA136" s="526"/>
      <c r="BB136" s="526"/>
      <c r="BC136" s="526"/>
      <c r="BD136" s="526"/>
      <c r="BE136" s="526"/>
      <c r="BF136" s="526"/>
      <c r="BG136" s="526"/>
    </row>
    <row r="137" spans="1:59" s="830" customFormat="1" ht="17.25" customHeight="1" x14ac:dyDescent="0.25">
      <c r="A137" s="865"/>
      <c r="B137" s="865"/>
      <c r="C137" s="908"/>
      <c r="G137" s="865"/>
      <c r="H137" s="874"/>
      <c r="I137" s="869"/>
      <c r="J137" s="869"/>
      <c r="K137" s="869"/>
      <c r="L137" s="869"/>
      <c r="M137" s="874"/>
      <c r="O137" s="874"/>
      <c r="P137" s="874"/>
      <c r="Q137" s="874"/>
      <c r="R137" s="874"/>
      <c r="S137" s="874"/>
      <c r="T137" s="874"/>
      <c r="W137" s="874"/>
      <c r="X137" s="874"/>
      <c r="Y137" s="874"/>
      <c r="Z137" s="874"/>
      <c r="AA137" s="874"/>
      <c r="AD137" s="526"/>
      <c r="AE137" s="526"/>
      <c r="AF137" s="526"/>
      <c r="AG137" s="526"/>
      <c r="AH137" s="526"/>
      <c r="AI137" s="526"/>
      <c r="AJ137" s="526"/>
      <c r="AK137" s="526"/>
      <c r="AL137" s="526"/>
      <c r="AM137" s="526"/>
      <c r="AN137" s="526"/>
      <c r="AO137" s="526"/>
      <c r="AP137" s="526"/>
      <c r="AQ137" s="526"/>
      <c r="AR137" s="526"/>
      <c r="AS137" s="526"/>
      <c r="AT137" s="526"/>
      <c r="AU137" s="526"/>
      <c r="AV137" s="526"/>
      <c r="AW137" s="526"/>
      <c r="AX137" s="526"/>
      <c r="AY137" s="526"/>
      <c r="AZ137" s="526"/>
      <c r="BA137" s="526"/>
      <c r="BB137" s="526"/>
      <c r="BC137" s="526"/>
      <c r="BD137" s="526"/>
      <c r="BE137" s="526"/>
      <c r="BF137" s="526"/>
      <c r="BG137" s="526"/>
    </row>
    <row r="138" spans="1:59" s="830" customFormat="1" ht="17.25" customHeight="1" x14ac:dyDescent="0.25">
      <c r="A138" s="865"/>
      <c r="B138" s="865"/>
      <c r="C138" s="908"/>
      <c r="G138" s="865"/>
      <c r="H138" s="874"/>
      <c r="I138" s="869"/>
      <c r="J138" s="869"/>
      <c r="K138" s="869"/>
      <c r="L138" s="869"/>
      <c r="M138" s="874"/>
      <c r="O138" s="874"/>
      <c r="P138" s="874"/>
      <c r="Q138" s="874"/>
      <c r="R138" s="874"/>
      <c r="S138" s="874"/>
      <c r="T138" s="874"/>
      <c r="W138" s="874"/>
      <c r="X138" s="874"/>
      <c r="Y138" s="874"/>
      <c r="Z138" s="874"/>
      <c r="AA138" s="874"/>
      <c r="AD138" s="526"/>
      <c r="AE138" s="526"/>
      <c r="AF138" s="526"/>
      <c r="AG138" s="526"/>
      <c r="AH138" s="526"/>
      <c r="AI138" s="526"/>
      <c r="AJ138" s="526"/>
      <c r="AK138" s="526"/>
      <c r="AL138" s="526"/>
      <c r="AM138" s="526"/>
      <c r="AN138" s="526"/>
      <c r="AO138" s="526"/>
      <c r="AP138" s="526"/>
      <c r="AQ138" s="526"/>
      <c r="AR138" s="526"/>
      <c r="AS138" s="526"/>
      <c r="AT138" s="526"/>
      <c r="AU138" s="526"/>
      <c r="AV138" s="526"/>
      <c r="AW138" s="526"/>
      <c r="AX138" s="526"/>
      <c r="AY138" s="526"/>
      <c r="AZ138" s="526"/>
      <c r="BA138" s="526"/>
      <c r="BB138" s="526"/>
      <c r="BC138" s="526"/>
      <c r="BD138" s="526"/>
      <c r="BE138" s="526"/>
      <c r="BF138" s="526"/>
      <c r="BG138" s="526"/>
    </row>
    <row r="139" spans="1:59" s="830" customFormat="1" ht="17.25" customHeight="1" x14ac:dyDescent="0.25">
      <c r="A139" s="865"/>
      <c r="B139" s="865"/>
      <c r="C139" s="908"/>
      <c r="G139" s="865"/>
      <c r="H139" s="874"/>
      <c r="I139" s="869"/>
      <c r="J139" s="869"/>
      <c r="K139" s="869"/>
      <c r="L139" s="869"/>
      <c r="M139" s="874"/>
      <c r="O139" s="874"/>
      <c r="P139" s="874"/>
      <c r="Q139" s="874"/>
      <c r="R139" s="874"/>
      <c r="S139" s="874"/>
      <c r="T139" s="874"/>
      <c r="W139" s="874"/>
      <c r="X139" s="874"/>
      <c r="Y139" s="874"/>
      <c r="Z139" s="874"/>
      <c r="AA139" s="874"/>
      <c r="AD139" s="526"/>
      <c r="AE139" s="526"/>
      <c r="AF139" s="526"/>
      <c r="AG139" s="526"/>
      <c r="AH139" s="526"/>
      <c r="AI139" s="526"/>
      <c r="AJ139" s="526"/>
      <c r="AK139" s="526"/>
      <c r="AL139" s="526"/>
      <c r="AM139" s="526"/>
      <c r="AN139" s="526"/>
      <c r="AO139" s="526"/>
      <c r="AP139" s="526"/>
      <c r="AQ139" s="526"/>
      <c r="AR139" s="526"/>
      <c r="AS139" s="526"/>
      <c r="AT139" s="526"/>
      <c r="AU139" s="526"/>
      <c r="AV139" s="526"/>
      <c r="AW139" s="526"/>
      <c r="AX139" s="526"/>
      <c r="AY139" s="526"/>
      <c r="AZ139" s="526"/>
      <c r="BA139" s="526"/>
      <c r="BB139" s="526"/>
      <c r="BC139" s="526"/>
      <c r="BD139" s="526"/>
      <c r="BE139" s="526"/>
      <c r="BF139" s="526"/>
      <c r="BG139" s="526"/>
    </row>
    <row r="140" spans="1:59" s="830" customFormat="1" ht="17.25" customHeight="1" x14ac:dyDescent="0.25">
      <c r="A140" s="865"/>
      <c r="B140" s="865"/>
      <c r="C140" s="908"/>
      <c r="G140" s="865"/>
      <c r="H140" s="874"/>
      <c r="I140" s="869"/>
      <c r="J140" s="869"/>
      <c r="K140" s="869"/>
      <c r="L140" s="869"/>
      <c r="M140" s="874"/>
      <c r="O140" s="874"/>
      <c r="P140" s="874"/>
      <c r="Q140" s="874"/>
      <c r="R140" s="874"/>
      <c r="S140" s="874"/>
      <c r="T140" s="874"/>
      <c r="W140" s="874"/>
      <c r="X140" s="874"/>
      <c r="Y140" s="874"/>
      <c r="Z140" s="874"/>
      <c r="AA140" s="874"/>
      <c r="AD140" s="526"/>
      <c r="AE140" s="526"/>
      <c r="AF140" s="526"/>
      <c r="AG140" s="526"/>
      <c r="AH140" s="526"/>
      <c r="AI140" s="526"/>
      <c r="AJ140" s="526"/>
      <c r="AK140" s="526"/>
      <c r="AL140" s="526"/>
      <c r="AM140" s="526"/>
      <c r="AN140" s="526"/>
      <c r="AO140" s="526"/>
      <c r="AP140" s="526"/>
      <c r="AQ140" s="526"/>
      <c r="AR140" s="526"/>
      <c r="AS140" s="526"/>
      <c r="AT140" s="526"/>
      <c r="AU140" s="526"/>
      <c r="AV140" s="526"/>
      <c r="AW140" s="526"/>
      <c r="AX140" s="526"/>
      <c r="AY140" s="526"/>
      <c r="AZ140" s="526"/>
      <c r="BA140" s="526"/>
      <c r="BB140" s="526"/>
      <c r="BC140" s="526"/>
      <c r="BD140" s="526"/>
      <c r="BE140" s="526"/>
      <c r="BF140" s="526"/>
      <c r="BG140" s="526"/>
    </row>
    <row r="141" spans="1:59" s="830" customFormat="1" ht="17.25" customHeight="1" x14ac:dyDescent="0.25">
      <c r="A141" s="865"/>
      <c r="B141" s="865"/>
      <c r="C141" s="908"/>
      <c r="G141" s="865"/>
      <c r="H141" s="874"/>
      <c r="I141" s="869"/>
      <c r="J141" s="869"/>
      <c r="K141" s="869"/>
      <c r="L141" s="869"/>
      <c r="M141" s="874"/>
      <c r="O141" s="874"/>
      <c r="P141" s="874"/>
      <c r="Q141" s="874"/>
      <c r="R141" s="874"/>
      <c r="S141" s="874"/>
      <c r="T141" s="874"/>
      <c r="W141" s="874"/>
      <c r="X141" s="874"/>
      <c r="Y141" s="874"/>
      <c r="Z141" s="874"/>
      <c r="AA141" s="874"/>
      <c r="AD141" s="526"/>
      <c r="AE141" s="526"/>
      <c r="AF141" s="526"/>
      <c r="AG141" s="526"/>
      <c r="AH141" s="526"/>
      <c r="AI141" s="526"/>
      <c r="AJ141" s="526"/>
      <c r="AK141" s="526"/>
      <c r="AL141" s="526"/>
      <c r="AM141" s="526"/>
      <c r="AN141" s="526"/>
      <c r="AO141" s="526"/>
      <c r="AP141" s="526"/>
      <c r="AQ141" s="526"/>
      <c r="AR141" s="526"/>
      <c r="AS141" s="526"/>
      <c r="AT141" s="526"/>
      <c r="AU141" s="526"/>
      <c r="AV141" s="526"/>
      <c r="AW141" s="526"/>
      <c r="AX141" s="526"/>
      <c r="AY141" s="526"/>
      <c r="AZ141" s="526"/>
      <c r="BA141" s="526"/>
      <c r="BB141" s="526"/>
      <c r="BC141" s="526"/>
      <c r="BD141" s="526"/>
      <c r="BE141" s="526"/>
      <c r="BF141" s="526"/>
      <c r="BG141" s="526"/>
    </row>
    <row r="142" spans="1:59" s="830" customFormat="1" ht="17.25" customHeight="1" x14ac:dyDescent="0.25">
      <c r="A142" s="865"/>
      <c r="B142" s="865"/>
      <c r="C142" s="908"/>
      <c r="G142" s="865"/>
      <c r="H142" s="874"/>
      <c r="I142" s="869"/>
      <c r="J142" s="869"/>
      <c r="K142" s="869"/>
      <c r="L142" s="869"/>
      <c r="M142" s="874"/>
      <c r="O142" s="874"/>
      <c r="P142" s="874"/>
      <c r="Q142" s="874"/>
      <c r="R142" s="874"/>
      <c r="S142" s="874"/>
      <c r="T142" s="874"/>
      <c r="W142" s="874"/>
      <c r="X142" s="874"/>
      <c r="Y142" s="874"/>
      <c r="Z142" s="874"/>
      <c r="AA142" s="874"/>
      <c r="AD142" s="526"/>
      <c r="AE142" s="526"/>
      <c r="AF142" s="526"/>
      <c r="AG142" s="526"/>
      <c r="AH142" s="526"/>
      <c r="AI142" s="526"/>
      <c r="AJ142" s="526"/>
      <c r="AK142" s="526"/>
      <c r="AL142" s="526"/>
      <c r="AM142" s="526"/>
      <c r="AN142" s="526"/>
      <c r="AO142" s="526"/>
      <c r="AP142" s="526"/>
      <c r="AQ142" s="526"/>
      <c r="AR142" s="526"/>
      <c r="AS142" s="526"/>
      <c r="AT142" s="526"/>
      <c r="AU142" s="526"/>
      <c r="AV142" s="526"/>
      <c r="AW142" s="526"/>
      <c r="AX142" s="526"/>
      <c r="AY142" s="526"/>
      <c r="AZ142" s="526"/>
      <c r="BA142" s="526"/>
      <c r="BB142" s="526"/>
      <c r="BC142" s="526"/>
      <c r="BD142" s="526"/>
      <c r="BE142" s="526"/>
      <c r="BF142" s="526"/>
      <c r="BG142" s="526"/>
    </row>
    <row r="143" spans="1:59" s="830" customFormat="1" ht="17.25" customHeight="1" x14ac:dyDescent="0.25">
      <c r="A143" s="865"/>
      <c r="B143" s="865"/>
      <c r="C143" s="908"/>
      <c r="G143" s="865"/>
      <c r="H143" s="874"/>
      <c r="I143" s="869"/>
      <c r="J143" s="869"/>
      <c r="K143" s="869"/>
      <c r="L143" s="869"/>
      <c r="M143" s="874"/>
      <c r="O143" s="874"/>
      <c r="P143" s="874"/>
      <c r="Q143" s="874"/>
      <c r="R143" s="874"/>
      <c r="S143" s="874"/>
      <c r="T143" s="874"/>
      <c r="W143" s="874"/>
      <c r="X143" s="874"/>
      <c r="Y143" s="874"/>
      <c r="Z143" s="874"/>
      <c r="AA143" s="874"/>
      <c r="AD143" s="526"/>
      <c r="AE143" s="526"/>
      <c r="AF143" s="526"/>
      <c r="AG143" s="526"/>
      <c r="AH143" s="526"/>
      <c r="AI143" s="526"/>
      <c r="AJ143" s="526"/>
      <c r="AK143" s="526"/>
      <c r="AL143" s="526"/>
      <c r="AM143" s="526"/>
      <c r="AN143" s="526"/>
      <c r="AO143" s="526"/>
      <c r="AP143" s="526"/>
      <c r="AQ143" s="526"/>
      <c r="AR143" s="526"/>
      <c r="AS143" s="526"/>
      <c r="AT143" s="526"/>
      <c r="AU143" s="526"/>
      <c r="AV143" s="526"/>
      <c r="AW143" s="526"/>
      <c r="AX143" s="526"/>
      <c r="AY143" s="526"/>
      <c r="AZ143" s="526"/>
      <c r="BA143" s="526"/>
      <c r="BB143" s="526"/>
      <c r="BC143" s="526"/>
      <c r="BD143" s="526"/>
      <c r="BE143" s="526"/>
      <c r="BF143" s="526"/>
      <c r="BG143" s="526"/>
    </row>
    <row r="144" spans="1:59" s="830" customFormat="1" ht="17.25" customHeight="1" x14ac:dyDescent="0.25">
      <c r="A144" s="865"/>
      <c r="B144" s="865"/>
      <c r="C144" s="908"/>
      <c r="G144" s="865"/>
      <c r="H144" s="874"/>
      <c r="I144" s="869"/>
      <c r="J144" s="869"/>
      <c r="K144" s="869"/>
      <c r="L144" s="869"/>
      <c r="M144" s="874"/>
      <c r="O144" s="874"/>
      <c r="P144" s="874"/>
      <c r="Q144" s="874"/>
      <c r="R144" s="874"/>
      <c r="S144" s="874"/>
      <c r="T144" s="874"/>
      <c r="W144" s="874"/>
      <c r="X144" s="874"/>
      <c r="Y144" s="874"/>
      <c r="Z144" s="874"/>
      <c r="AA144" s="874"/>
      <c r="AD144" s="526"/>
      <c r="AE144" s="526"/>
      <c r="AF144" s="526"/>
      <c r="AG144" s="526"/>
      <c r="AH144" s="526"/>
      <c r="AI144" s="526"/>
      <c r="AJ144" s="526"/>
      <c r="AK144" s="526"/>
      <c r="AL144" s="526"/>
      <c r="AM144" s="526"/>
      <c r="AN144" s="526"/>
      <c r="AO144" s="526"/>
      <c r="AP144" s="526"/>
      <c r="AQ144" s="526"/>
      <c r="AR144" s="526"/>
      <c r="AS144" s="526"/>
      <c r="AT144" s="526"/>
      <c r="AU144" s="526"/>
      <c r="AV144" s="526"/>
      <c r="AW144" s="526"/>
      <c r="AX144" s="526"/>
      <c r="AY144" s="526"/>
      <c r="AZ144" s="526"/>
      <c r="BA144" s="526"/>
      <c r="BB144" s="526"/>
      <c r="BC144" s="526"/>
      <c r="BD144" s="526"/>
      <c r="BE144" s="526"/>
      <c r="BF144" s="526"/>
      <c r="BG144" s="526"/>
    </row>
    <row r="145" spans="1:59" s="830" customFormat="1" ht="17.25" customHeight="1" x14ac:dyDescent="0.25">
      <c r="A145" s="865"/>
      <c r="B145" s="865"/>
      <c r="C145" s="908"/>
      <c r="G145" s="865"/>
      <c r="H145" s="874"/>
      <c r="I145" s="869"/>
      <c r="J145" s="869"/>
      <c r="K145" s="869"/>
      <c r="L145" s="869"/>
      <c r="M145" s="874"/>
      <c r="O145" s="874"/>
      <c r="P145" s="874"/>
      <c r="Q145" s="874"/>
      <c r="R145" s="874"/>
      <c r="S145" s="874"/>
      <c r="T145" s="874"/>
      <c r="W145" s="874"/>
      <c r="X145" s="874"/>
      <c r="Y145" s="874"/>
      <c r="Z145" s="874"/>
      <c r="AA145" s="874"/>
      <c r="AD145" s="526"/>
      <c r="AE145" s="526"/>
      <c r="AF145" s="526"/>
      <c r="AG145" s="526"/>
      <c r="AH145" s="526"/>
      <c r="AI145" s="526"/>
      <c r="AJ145" s="526"/>
      <c r="AK145" s="526"/>
      <c r="AL145" s="526"/>
      <c r="AM145" s="526"/>
      <c r="AN145" s="526"/>
      <c r="AO145" s="526"/>
      <c r="AP145" s="526"/>
      <c r="AQ145" s="526"/>
      <c r="AR145" s="526"/>
      <c r="AS145" s="526"/>
      <c r="AT145" s="526"/>
      <c r="AU145" s="526"/>
      <c r="AV145" s="526"/>
      <c r="AW145" s="526"/>
      <c r="AX145" s="526"/>
      <c r="AY145" s="526"/>
      <c r="AZ145" s="526"/>
      <c r="BA145" s="526"/>
      <c r="BB145" s="526"/>
      <c r="BC145" s="526"/>
      <c r="BD145" s="526"/>
      <c r="BE145" s="526"/>
      <c r="BF145" s="526"/>
      <c r="BG145" s="526"/>
    </row>
    <row r="146" spans="1:59" s="830" customFormat="1" ht="17.25" customHeight="1" x14ac:dyDescent="0.25">
      <c r="A146" s="865"/>
      <c r="B146" s="865"/>
      <c r="C146" s="908"/>
      <c r="G146" s="865"/>
      <c r="H146" s="874"/>
      <c r="I146" s="869"/>
      <c r="J146" s="869"/>
      <c r="K146" s="869"/>
      <c r="L146" s="869"/>
      <c r="M146" s="874"/>
      <c r="O146" s="874"/>
      <c r="P146" s="874"/>
      <c r="Q146" s="874"/>
      <c r="R146" s="874"/>
      <c r="S146" s="874"/>
      <c r="T146" s="874"/>
      <c r="W146" s="874"/>
      <c r="X146" s="874"/>
      <c r="Y146" s="874"/>
      <c r="Z146" s="874"/>
      <c r="AA146" s="874"/>
      <c r="AD146" s="526"/>
      <c r="AE146" s="526"/>
      <c r="AF146" s="526"/>
      <c r="AG146" s="526"/>
      <c r="AH146" s="526"/>
      <c r="AI146" s="526"/>
      <c r="AJ146" s="526"/>
      <c r="AK146" s="526"/>
      <c r="AL146" s="526"/>
      <c r="AM146" s="526"/>
      <c r="AN146" s="526"/>
      <c r="AO146" s="526"/>
      <c r="AP146" s="526"/>
      <c r="AQ146" s="526"/>
      <c r="AR146" s="526"/>
      <c r="AS146" s="526"/>
      <c r="AT146" s="526"/>
      <c r="AU146" s="526"/>
      <c r="AV146" s="526"/>
      <c r="AW146" s="526"/>
      <c r="AX146" s="526"/>
      <c r="AY146" s="526"/>
      <c r="AZ146" s="526"/>
      <c r="BA146" s="526"/>
      <c r="BB146" s="526"/>
      <c r="BC146" s="526"/>
      <c r="BD146" s="526"/>
      <c r="BE146" s="526"/>
      <c r="BF146" s="526"/>
      <c r="BG146" s="526"/>
    </row>
    <row r="147" spans="1:59" s="830" customFormat="1" ht="17.25" customHeight="1" x14ac:dyDescent="0.25">
      <c r="A147" s="865"/>
      <c r="B147" s="865"/>
      <c r="C147" s="908"/>
      <c r="G147" s="865"/>
      <c r="H147" s="874"/>
      <c r="I147" s="869"/>
      <c r="J147" s="869"/>
      <c r="K147" s="869"/>
      <c r="L147" s="869"/>
      <c r="M147" s="874"/>
      <c r="O147" s="874"/>
      <c r="P147" s="874"/>
      <c r="Q147" s="874"/>
      <c r="R147" s="874"/>
      <c r="S147" s="874"/>
      <c r="T147" s="874"/>
      <c r="W147" s="874"/>
      <c r="X147" s="874"/>
      <c r="Y147" s="874"/>
      <c r="Z147" s="874"/>
      <c r="AA147" s="874"/>
      <c r="AD147" s="526"/>
      <c r="AE147" s="526"/>
      <c r="AF147" s="526"/>
      <c r="AG147" s="526"/>
      <c r="AH147" s="526"/>
      <c r="AI147" s="526"/>
      <c r="AJ147" s="526"/>
      <c r="AK147" s="526"/>
      <c r="AL147" s="526"/>
      <c r="AM147" s="526"/>
      <c r="AN147" s="526"/>
      <c r="AO147" s="526"/>
      <c r="AP147" s="526"/>
      <c r="AQ147" s="526"/>
      <c r="AR147" s="526"/>
      <c r="AS147" s="526"/>
      <c r="AT147" s="526"/>
      <c r="AU147" s="526"/>
      <c r="AV147" s="526"/>
      <c r="AW147" s="526"/>
      <c r="AX147" s="526"/>
      <c r="AY147" s="526"/>
      <c r="AZ147" s="526"/>
      <c r="BA147" s="526"/>
      <c r="BB147" s="526"/>
      <c r="BC147" s="526"/>
      <c r="BD147" s="526"/>
      <c r="BE147" s="526"/>
      <c r="BF147" s="526"/>
      <c r="BG147" s="526"/>
    </row>
    <row r="148" spans="1:59" s="830" customFormat="1" ht="17.25" customHeight="1" x14ac:dyDescent="0.25">
      <c r="A148" s="865"/>
      <c r="B148" s="865"/>
      <c r="C148" s="908"/>
      <c r="G148" s="865"/>
      <c r="H148" s="874"/>
      <c r="I148" s="869"/>
      <c r="J148" s="869"/>
      <c r="K148" s="869"/>
      <c r="L148" s="869"/>
      <c r="M148" s="874"/>
      <c r="O148" s="874"/>
      <c r="P148" s="874"/>
      <c r="Q148" s="874"/>
      <c r="R148" s="874"/>
      <c r="S148" s="874"/>
      <c r="T148" s="874"/>
      <c r="W148" s="874"/>
      <c r="X148" s="874"/>
      <c r="Y148" s="874"/>
      <c r="Z148" s="874"/>
      <c r="AA148" s="874"/>
      <c r="AD148" s="526"/>
      <c r="AE148" s="526"/>
      <c r="AF148" s="526"/>
      <c r="AG148" s="526"/>
      <c r="AH148" s="526"/>
      <c r="AI148" s="526"/>
      <c r="AJ148" s="526"/>
      <c r="AK148" s="526"/>
      <c r="AL148" s="526"/>
      <c r="AM148" s="526"/>
      <c r="AN148" s="526"/>
      <c r="AO148" s="526"/>
      <c r="AP148" s="526"/>
      <c r="AQ148" s="526"/>
      <c r="AR148" s="526"/>
      <c r="AS148" s="526"/>
      <c r="AT148" s="526"/>
      <c r="AU148" s="526"/>
      <c r="AV148" s="526"/>
      <c r="AW148" s="526"/>
      <c r="AX148" s="526"/>
      <c r="AY148" s="526"/>
      <c r="AZ148" s="526"/>
      <c r="BA148" s="526"/>
      <c r="BB148" s="526"/>
      <c r="BC148" s="526"/>
      <c r="BD148" s="526"/>
      <c r="BE148" s="526"/>
      <c r="BF148" s="526"/>
      <c r="BG148" s="526"/>
    </row>
    <row r="149" spans="1:59" s="830" customFormat="1" ht="17.25" customHeight="1" x14ac:dyDescent="0.25">
      <c r="A149" s="865"/>
      <c r="B149" s="865"/>
      <c r="C149" s="908"/>
      <c r="G149" s="865"/>
      <c r="H149" s="874"/>
      <c r="I149" s="869"/>
      <c r="J149" s="869"/>
      <c r="K149" s="869"/>
      <c r="L149" s="869"/>
      <c r="M149" s="874"/>
      <c r="O149" s="874"/>
      <c r="P149" s="874"/>
      <c r="Q149" s="874"/>
      <c r="R149" s="874"/>
      <c r="S149" s="874"/>
      <c r="T149" s="874"/>
      <c r="W149" s="874"/>
      <c r="X149" s="874"/>
      <c r="Y149" s="874"/>
      <c r="Z149" s="874"/>
      <c r="AA149" s="874"/>
      <c r="AD149" s="526"/>
      <c r="AE149" s="526"/>
      <c r="AF149" s="526"/>
      <c r="AG149" s="526"/>
      <c r="AH149" s="526"/>
      <c r="AI149" s="526"/>
      <c r="AJ149" s="526"/>
      <c r="AK149" s="526"/>
      <c r="AL149" s="526"/>
      <c r="AM149" s="526"/>
      <c r="AN149" s="526"/>
      <c r="AO149" s="526"/>
      <c r="AP149" s="526"/>
      <c r="AQ149" s="526"/>
      <c r="AR149" s="526"/>
      <c r="AS149" s="526"/>
      <c r="AT149" s="526"/>
      <c r="AU149" s="526"/>
      <c r="AV149" s="526"/>
      <c r="AW149" s="526"/>
      <c r="AX149" s="526"/>
      <c r="AY149" s="526"/>
      <c r="AZ149" s="526"/>
      <c r="BA149" s="526"/>
      <c r="BB149" s="526"/>
      <c r="BC149" s="526"/>
      <c r="BD149" s="526"/>
      <c r="BE149" s="526"/>
      <c r="BF149" s="526"/>
      <c r="BG149" s="526"/>
    </row>
    <row r="150" spans="1:59" s="830" customFormat="1" ht="17.25" customHeight="1" x14ac:dyDescent="0.25">
      <c r="A150" s="865"/>
      <c r="B150" s="865"/>
      <c r="C150" s="908"/>
      <c r="G150" s="865"/>
      <c r="H150" s="874"/>
      <c r="I150" s="869"/>
      <c r="J150" s="869"/>
      <c r="K150" s="869"/>
      <c r="L150" s="869"/>
      <c r="M150" s="874"/>
      <c r="O150" s="874"/>
      <c r="P150" s="874"/>
      <c r="Q150" s="874"/>
      <c r="R150" s="874"/>
      <c r="S150" s="874"/>
      <c r="T150" s="874"/>
      <c r="W150" s="874"/>
      <c r="X150" s="874"/>
      <c r="Y150" s="874"/>
      <c r="Z150" s="874"/>
      <c r="AA150" s="874"/>
      <c r="AD150" s="526"/>
      <c r="AE150" s="526"/>
      <c r="AF150" s="526"/>
      <c r="AG150" s="526"/>
      <c r="AH150" s="526"/>
      <c r="AI150" s="526"/>
      <c r="AJ150" s="526"/>
      <c r="AK150" s="526"/>
      <c r="AL150" s="526"/>
      <c r="AM150" s="526"/>
      <c r="AN150" s="526"/>
      <c r="AO150" s="526"/>
      <c r="AP150" s="526"/>
      <c r="AQ150" s="526"/>
      <c r="AR150" s="526"/>
      <c r="AS150" s="526"/>
      <c r="AT150" s="526"/>
      <c r="AU150" s="526"/>
      <c r="AV150" s="526"/>
      <c r="AW150" s="526"/>
      <c r="AX150" s="526"/>
      <c r="AY150" s="526"/>
      <c r="AZ150" s="526"/>
      <c r="BA150" s="526"/>
      <c r="BB150" s="526"/>
      <c r="BC150" s="526"/>
      <c r="BD150" s="526"/>
      <c r="BE150" s="526"/>
      <c r="BF150" s="526"/>
      <c r="BG150" s="526"/>
    </row>
    <row r="151" spans="1:59" s="830" customFormat="1" ht="17.25" customHeight="1" x14ac:dyDescent="0.25">
      <c r="A151" s="865"/>
      <c r="B151" s="865"/>
      <c r="C151" s="908"/>
      <c r="G151" s="865"/>
      <c r="H151" s="874"/>
      <c r="I151" s="869"/>
      <c r="J151" s="869"/>
      <c r="K151" s="869"/>
      <c r="L151" s="869"/>
      <c r="M151" s="874"/>
      <c r="O151" s="874"/>
      <c r="P151" s="874"/>
      <c r="Q151" s="874"/>
      <c r="R151" s="874"/>
      <c r="S151" s="874"/>
      <c r="T151" s="874"/>
      <c r="W151" s="874"/>
      <c r="X151" s="874"/>
      <c r="Y151" s="874"/>
      <c r="Z151" s="874"/>
      <c r="AA151" s="874"/>
      <c r="AD151" s="526"/>
      <c r="AE151" s="526"/>
      <c r="AF151" s="526"/>
      <c r="AG151" s="526"/>
      <c r="AH151" s="526"/>
      <c r="AI151" s="526"/>
      <c r="AJ151" s="526"/>
      <c r="AK151" s="526"/>
      <c r="AL151" s="526"/>
      <c r="AM151" s="526"/>
      <c r="AN151" s="526"/>
      <c r="AO151" s="526"/>
      <c r="AP151" s="526"/>
      <c r="AQ151" s="526"/>
      <c r="AR151" s="526"/>
      <c r="AS151" s="526"/>
      <c r="AT151" s="526"/>
      <c r="AU151" s="526"/>
      <c r="AV151" s="526"/>
      <c r="AW151" s="526"/>
      <c r="AX151" s="526"/>
      <c r="AY151" s="526"/>
      <c r="AZ151" s="526"/>
      <c r="BA151" s="526"/>
      <c r="BB151" s="526"/>
      <c r="BC151" s="526"/>
      <c r="BD151" s="526"/>
      <c r="BE151" s="526"/>
      <c r="BF151" s="526"/>
      <c r="BG151" s="526"/>
    </row>
    <row r="152" spans="1:59" s="830" customFormat="1" ht="17.25" customHeight="1" x14ac:dyDescent="0.25">
      <c r="A152" s="865"/>
      <c r="B152" s="865"/>
      <c r="C152" s="908"/>
      <c r="G152" s="865"/>
      <c r="H152" s="874"/>
      <c r="I152" s="869"/>
      <c r="J152" s="869"/>
      <c r="K152" s="869"/>
      <c r="L152" s="869"/>
      <c r="M152" s="874"/>
      <c r="O152" s="874"/>
      <c r="P152" s="874"/>
      <c r="Q152" s="874"/>
      <c r="R152" s="874"/>
      <c r="S152" s="874"/>
      <c r="T152" s="874"/>
      <c r="W152" s="874"/>
      <c r="X152" s="874"/>
      <c r="Y152" s="874"/>
      <c r="Z152" s="874"/>
      <c r="AA152" s="874"/>
      <c r="AD152" s="526"/>
      <c r="AE152" s="526"/>
      <c r="AF152" s="526"/>
      <c r="AG152" s="526"/>
      <c r="AH152" s="526"/>
      <c r="AI152" s="526"/>
      <c r="AJ152" s="526"/>
      <c r="AK152" s="526"/>
      <c r="AL152" s="526"/>
      <c r="AM152" s="526"/>
      <c r="AN152" s="526"/>
      <c r="AO152" s="526"/>
      <c r="AP152" s="526"/>
      <c r="AQ152" s="526"/>
      <c r="AR152" s="526"/>
      <c r="AS152" s="526"/>
      <c r="AT152" s="526"/>
      <c r="AU152" s="526"/>
      <c r="AV152" s="526"/>
      <c r="AW152" s="526"/>
      <c r="AX152" s="526"/>
      <c r="AY152" s="526"/>
      <c r="AZ152" s="526"/>
      <c r="BA152" s="526"/>
      <c r="BB152" s="526"/>
      <c r="BC152" s="526"/>
      <c r="BD152" s="526"/>
      <c r="BE152" s="526"/>
      <c r="BF152" s="526"/>
      <c r="BG152" s="526"/>
    </row>
    <row r="153" spans="1:59" s="830" customFormat="1" ht="17.25" customHeight="1" x14ac:dyDescent="0.25">
      <c r="A153" s="865"/>
      <c r="B153" s="865"/>
      <c r="C153" s="908"/>
      <c r="G153" s="865"/>
      <c r="H153" s="874"/>
      <c r="I153" s="869"/>
      <c r="J153" s="869"/>
      <c r="K153" s="869"/>
      <c r="L153" s="869"/>
      <c r="M153" s="874"/>
      <c r="O153" s="874"/>
      <c r="P153" s="874"/>
      <c r="Q153" s="874"/>
      <c r="R153" s="874"/>
      <c r="S153" s="874"/>
      <c r="T153" s="874"/>
      <c r="W153" s="874"/>
      <c r="X153" s="874"/>
      <c r="Y153" s="874"/>
      <c r="Z153" s="874"/>
      <c r="AA153" s="874"/>
      <c r="AD153" s="526"/>
      <c r="AE153" s="526"/>
      <c r="AF153" s="526"/>
      <c r="AG153" s="526"/>
      <c r="AH153" s="526"/>
      <c r="AI153" s="526"/>
      <c r="AJ153" s="526"/>
      <c r="AK153" s="526"/>
      <c r="AL153" s="526"/>
      <c r="AM153" s="526"/>
      <c r="AN153" s="526"/>
      <c r="AO153" s="526"/>
      <c r="AP153" s="526"/>
      <c r="AQ153" s="526"/>
      <c r="AR153" s="526"/>
      <c r="AS153" s="526"/>
      <c r="AT153" s="526"/>
      <c r="AU153" s="526"/>
      <c r="AV153" s="526"/>
      <c r="AW153" s="526"/>
      <c r="AX153" s="526"/>
      <c r="AY153" s="526"/>
      <c r="AZ153" s="526"/>
      <c r="BA153" s="526"/>
      <c r="BB153" s="526"/>
      <c r="BC153" s="526"/>
      <c r="BD153" s="526"/>
      <c r="BE153" s="526"/>
      <c r="BF153" s="526"/>
      <c r="BG153" s="526"/>
    </row>
    <row r="154" spans="1:59" s="830" customFormat="1" ht="17.25" customHeight="1" x14ac:dyDescent="0.25">
      <c r="A154" s="865"/>
      <c r="B154" s="865"/>
      <c r="C154" s="908"/>
      <c r="G154" s="865"/>
      <c r="H154" s="874"/>
      <c r="I154" s="869"/>
      <c r="J154" s="869"/>
      <c r="K154" s="869"/>
      <c r="L154" s="869"/>
      <c r="M154" s="874"/>
      <c r="O154" s="874"/>
      <c r="P154" s="874"/>
      <c r="Q154" s="874"/>
      <c r="R154" s="874"/>
      <c r="S154" s="874"/>
      <c r="T154" s="874"/>
      <c r="W154" s="874"/>
      <c r="X154" s="874"/>
      <c r="Y154" s="874"/>
      <c r="Z154" s="874"/>
      <c r="AA154" s="874"/>
      <c r="AD154" s="526"/>
      <c r="AE154" s="526"/>
      <c r="AF154" s="526"/>
      <c r="AG154" s="526"/>
      <c r="AH154" s="526"/>
      <c r="AI154" s="526"/>
      <c r="AJ154" s="526"/>
      <c r="AK154" s="526"/>
      <c r="AL154" s="526"/>
      <c r="AM154" s="526"/>
      <c r="AN154" s="526"/>
      <c r="AO154" s="526"/>
      <c r="AP154" s="526"/>
      <c r="AQ154" s="526"/>
      <c r="AR154" s="526"/>
      <c r="AS154" s="526"/>
      <c r="AT154" s="526"/>
      <c r="AU154" s="526"/>
      <c r="AV154" s="526"/>
      <c r="AW154" s="526"/>
      <c r="AX154" s="526"/>
      <c r="AY154" s="526"/>
      <c r="AZ154" s="526"/>
      <c r="BA154" s="526"/>
      <c r="BB154" s="526"/>
      <c r="BC154" s="526"/>
      <c r="BD154" s="526"/>
      <c r="BE154" s="526"/>
      <c r="BF154" s="526"/>
      <c r="BG154" s="526"/>
    </row>
    <row r="155" spans="1:59" s="830" customFormat="1" ht="17.25" customHeight="1" x14ac:dyDescent="0.25">
      <c r="A155" s="865"/>
      <c r="B155" s="865"/>
      <c r="C155" s="908"/>
      <c r="G155" s="865"/>
      <c r="H155" s="874"/>
      <c r="I155" s="869"/>
      <c r="J155" s="869"/>
      <c r="K155" s="869"/>
      <c r="L155" s="869"/>
      <c r="M155" s="874"/>
      <c r="O155" s="874"/>
      <c r="P155" s="874"/>
      <c r="Q155" s="874"/>
      <c r="R155" s="874"/>
      <c r="S155" s="874"/>
      <c r="T155" s="874"/>
      <c r="W155" s="874"/>
      <c r="X155" s="874"/>
      <c r="Y155" s="874"/>
      <c r="Z155" s="874"/>
      <c r="AA155" s="874"/>
      <c r="AD155" s="526"/>
      <c r="AE155" s="526"/>
      <c r="AF155" s="526"/>
      <c r="AG155" s="526"/>
      <c r="AH155" s="526"/>
      <c r="AI155" s="526"/>
      <c r="AJ155" s="526"/>
      <c r="AK155" s="526"/>
      <c r="AL155" s="526"/>
      <c r="AM155" s="526"/>
      <c r="AN155" s="526"/>
      <c r="AO155" s="526"/>
      <c r="AP155" s="526"/>
      <c r="AQ155" s="526"/>
      <c r="AR155" s="526"/>
      <c r="AS155" s="526"/>
      <c r="AT155" s="526"/>
      <c r="AU155" s="526"/>
      <c r="AV155" s="526"/>
      <c r="AW155" s="526"/>
      <c r="AX155" s="526"/>
      <c r="AY155" s="526"/>
      <c r="AZ155" s="526"/>
      <c r="BA155" s="526"/>
      <c r="BB155" s="526"/>
      <c r="BC155" s="526"/>
      <c r="BD155" s="526"/>
      <c r="BE155" s="526"/>
      <c r="BF155" s="526"/>
      <c r="BG155" s="526"/>
    </row>
    <row r="156" spans="1:59" s="830" customFormat="1" ht="17.25" customHeight="1" x14ac:dyDescent="0.25">
      <c r="A156" s="865"/>
      <c r="B156" s="865"/>
      <c r="C156" s="908"/>
      <c r="G156" s="865"/>
      <c r="H156" s="874"/>
      <c r="I156" s="869"/>
      <c r="J156" s="869"/>
      <c r="K156" s="869"/>
      <c r="L156" s="869"/>
      <c r="M156" s="874"/>
      <c r="O156" s="874"/>
      <c r="P156" s="874"/>
      <c r="Q156" s="874"/>
      <c r="R156" s="874"/>
      <c r="S156" s="874"/>
      <c r="T156" s="874"/>
      <c r="W156" s="874"/>
      <c r="X156" s="874"/>
      <c r="Y156" s="874"/>
      <c r="Z156" s="874"/>
      <c r="AA156" s="874"/>
      <c r="AD156" s="526"/>
      <c r="AE156" s="526"/>
      <c r="AF156" s="526"/>
      <c r="AG156" s="526"/>
      <c r="AH156" s="526"/>
      <c r="AI156" s="526"/>
      <c r="AJ156" s="526"/>
      <c r="AK156" s="526"/>
      <c r="AL156" s="526"/>
      <c r="AM156" s="526"/>
      <c r="AN156" s="526"/>
      <c r="AO156" s="526"/>
      <c r="AP156" s="526"/>
      <c r="AQ156" s="526"/>
      <c r="AR156" s="526"/>
      <c r="AS156" s="526"/>
      <c r="AT156" s="526"/>
      <c r="AU156" s="526"/>
      <c r="AV156" s="526"/>
      <c r="AW156" s="526"/>
      <c r="AX156" s="526"/>
      <c r="AY156" s="526"/>
      <c r="AZ156" s="526"/>
      <c r="BA156" s="526"/>
      <c r="BB156" s="526"/>
      <c r="BC156" s="526"/>
      <c r="BD156" s="526"/>
      <c r="BE156" s="526"/>
      <c r="BF156" s="526"/>
      <c r="BG156" s="526"/>
    </row>
    <row r="157" spans="1:59" s="830" customFormat="1" ht="17.25" customHeight="1" x14ac:dyDescent="0.25">
      <c r="A157" s="865"/>
      <c r="B157" s="865"/>
      <c r="C157" s="908"/>
      <c r="G157" s="865"/>
      <c r="H157" s="874"/>
      <c r="I157" s="869"/>
      <c r="J157" s="869"/>
      <c r="K157" s="869"/>
      <c r="L157" s="869"/>
      <c r="M157" s="874"/>
      <c r="O157" s="874"/>
      <c r="P157" s="874"/>
      <c r="Q157" s="874"/>
      <c r="R157" s="874"/>
      <c r="S157" s="874"/>
      <c r="T157" s="874"/>
      <c r="W157" s="874"/>
      <c r="X157" s="874"/>
      <c r="Y157" s="874"/>
      <c r="Z157" s="874"/>
      <c r="AA157" s="874"/>
      <c r="AD157" s="526"/>
      <c r="AE157" s="526"/>
      <c r="AF157" s="526"/>
      <c r="AG157" s="526"/>
      <c r="AH157" s="526"/>
      <c r="AI157" s="526"/>
      <c r="AJ157" s="526"/>
      <c r="AK157" s="526"/>
      <c r="AL157" s="526"/>
      <c r="AM157" s="526"/>
      <c r="AN157" s="526"/>
      <c r="AO157" s="526"/>
      <c r="AP157" s="526"/>
      <c r="AQ157" s="526"/>
      <c r="AR157" s="526"/>
      <c r="AS157" s="526"/>
      <c r="AT157" s="526"/>
      <c r="AU157" s="526"/>
      <c r="AV157" s="526"/>
      <c r="AW157" s="526"/>
      <c r="AX157" s="526"/>
      <c r="AY157" s="526"/>
      <c r="AZ157" s="526"/>
      <c r="BA157" s="526"/>
      <c r="BB157" s="526"/>
      <c r="BC157" s="526"/>
      <c r="BD157" s="526"/>
      <c r="BE157" s="526"/>
      <c r="BF157" s="526"/>
      <c r="BG157" s="526"/>
    </row>
    <row r="158" spans="1:59" s="830" customFormat="1" ht="17.25" customHeight="1" x14ac:dyDescent="0.25">
      <c r="A158" s="865"/>
      <c r="B158" s="865"/>
      <c r="C158" s="908"/>
      <c r="G158" s="865"/>
      <c r="H158" s="874"/>
      <c r="I158" s="869"/>
      <c r="J158" s="869"/>
      <c r="K158" s="869"/>
      <c r="L158" s="869"/>
      <c r="M158" s="874"/>
      <c r="O158" s="874"/>
      <c r="P158" s="874"/>
      <c r="Q158" s="874"/>
      <c r="R158" s="874"/>
      <c r="S158" s="874"/>
      <c r="T158" s="874"/>
      <c r="W158" s="874"/>
      <c r="X158" s="874"/>
      <c r="Y158" s="874"/>
      <c r="Z158" s="874"/>
      <c r="AA158" s="874"/>
      <c r="AD158" s="526"/>
      <c r="AE158" s="526"/>
      <c r="AF158" s="526"/>
      <c r="AG158" s="526"/>
      <c r="AH158" s="526"/>
      <c r="AI158" s="526"/>
      <c r="AJ158" s="526"/>
      <c r="AK158" s="526"/>
      <c r="AL158" s="526"/>
      <c r="AM158" s="526"/>
      <c r="AN158" s="526"/>
      <c r="AO158" s="526"/>
      <c r="AP158" s="526"/>
      <c r="AQ158" s="526"/>
      <c r="AR158" s="526"/>
      <c r="AS158" s="526"/>
      <c r="AT158" s="526"/>
      <c r="AU158" s="526"/>
      <c r="AV158" s="526"/>
      <c r="AW158" s="526"/>
      <c r="AX158" s="526"/>
      <c r="AY158" s="526"/>
      <c r="AZ158" s="526"/>
      <c r="BA158" s="526"/>
      <c r="BB158" s="526"/>
      <c r="BC158" s="526"/>
      <c r="BD158" s="526"/>
      <c r="BE158" s="526"/>
      <c r="BF158" s="526"/>
      <c r="BG158" s="526"/>
    </row>
    <row r="159" spans="1:59" s="830" customFormat="1" ht="17.25" customHeight="1" x14ac:dyDescent="0.25">
      <c r="A159" s="865"/>
      <c r="B159" s="865"/>
      <c r="C159" s="908"/>
      <c r="G159" s="865"/>
      <c r="H159" s="874"/>
      <c r="I159" s="869"/>
      <c r="J159" s="869"/>
      <c r="K159" s="869"/>
      <c r="L159" s="869"/>
      <c r="M159" s="874"/>
      <c r="O159" s="874"/>
      <c r="P159" s="874"/>
      <c r="Q159" s="874"/>
      <c r="R159" s="874"/>
      <c r="S159" s="874"/>
      <c r="T159" s="874"/>
      <c r="W159" s="874"/>
      <c r="X159" s="874"/>
      <c r="Y159" s="874"/>
      <c r="Z159" s="874"/>
      <c r="AA159" s="874"/>
      <c r="AD159" s="526"/>
      <c r="AE159" s="526"/>
      <c r="AF159" s="526"/>
      <c r="AG159" s="526"/>
      <c r="AH159" s="526"/>
      <c r="AI159" s="526"/>
      <c r="AJ159" s="526"/>
      <c r="AK159" s="526"/>
      <c r="AL159" s="526"/>
      <c r="AM159" s="526"/>
      <c r="AN159" s="526"/>
      <c r="AO159" s="526"/>
      <c r="AP159" s="526"/>
      <c r="AQ159" s="526"/>
      <c r="AR159" s="526"/>
      <c r="AS159" s="526"/>
      <c r="AT159" s="526"/>
      <c r="AU159" s="526"/>
      <c r="AV159" s="526"/>
      <c r="AW159" s="526"/>
      <c r="AX159" s="526"/>
      <c r="AY159" s="526"/>
      <c r="AZ159" s="526"/>
      <c r="BA159" s="526"/>
      <c r="BB159" s="526"/>
      <c r="BC159" s="526"/>
      <c r="BD159" s="526"/>
      <c r="BE159" s="526"/>
      <c r="BF159" s="526"/>
      <c r="BG159" s="526"/>
    </row>
    <row r="160" spans="1:59" s="830" customFormat="1" ht="17.25" customHeight="1" x14ac:dyDescent="0.25">
      <c r="A160" s="865"/>
      <c r="B160" s="865"/>
      <c r="C160" s="908"/>
      <c r="G160" s="865"/>
      <c r="H160" s="874"/>
      <c r="I160" s="869"/>
      <c r="J160" s="869"/>
      <c r="K160" s="869"/>
      <c r="L160" s="869"/>
      <c r="M160" s="874"/>
      <c r="O160" s="874"/>
      <c r="P160" s="874"/>
      <c r="Q160" s="874"/>
      <c r="R160" s="874"/>
      <c r="S160" s="874"/>
      <c r="T160" s="874"/>
      <c r="W160" s="874"/>
      <c r="X160" s="874"/>
      <c r="Y160" s="874"/>
      <c r="Z160" s="874"/>
      <c r="AA160" s="874"/>
      <c r="AD160" s="526"/>
      <c r="AE160" s="526"/>
      <c r="AF160" s="526"/>
      <c r="AG160" s="526"/>
      <c r="AH160" s="526"/>
      <c r="AI160" s="526"/>
      <c r="AJ160" s="526"/>
      <c r="AK160" s="526"/>
      <c r="AL160" s="526"/>
      <c r="AM160" s="526"/>
      <c r="AN160" s="526"/>
      <c r="AO160" s="526"/>
      <c r="AP160" s="526"/>
      <c r="AQ160" s="526"/>
      <c r="AR160" s="526"/>
      <c r="AS160" s="526"/>
      <c r="AT160" s="526"/>
      <c r="AU160" s="526"/>
      <c r="AV160" s="526"/>
      <c r="AW160" s="526"/>
      <c r="AX160" s="526"/>
      <c r="AY160" s="526"/>
      <c r="AZ160" s="526"/>
      <c r="BA160" s="526"/>
      <c r="BB160" s="526"/>
      <c r="BC160" s="526"/>
      <c r="BD160" s="526"/>
      <c r="BE160" s="526"/>
      <c r="BF160" s="526"/>
      <c r="BG160" s="526"/>
    </row>
    <row r="161" spans="1:59" s="830" customFormat="1" ht="17.25" customHeight="1" x14ac:dyDescent="0.25">
      <c r="A161" s="865"/>
      <c r="B161" s="865"/>
      <c r="C161" s="908"/>
      <c r="G161" s="865"/>
      <c r="H161" s="874"/>
      <c r="I161" s="869"/>
      <c r="J161" s="869"/>
      <c r="K161" s="869"/>
      <c r="L161" s="869"/>
      <c r="M161" s="874"/>
      <c r="O161" s="874"/>
      <c r="P161" s="874"/>
      <c r="Q161" s="874"/>
      <c r="R161" s="874"/>
      <c r="S161" s="874"/>
      <c r="T161" s="874"/>
      <c r="W161" s="874"/>
      <c r="X161" s="874"/>
      <c r="Y161" s="874"/>
      <c r="Z161" s="874"/>
      <c r="AA161" s="874"/>
      <c r="AD161" s="526"/>
      <c r="AE161" s="526"/>
      <c r="AF161" s="526"/>
      <c r="AG161" s="526"/>
      <c r="AH161" s="526"/>
      <c r="AI161" s="526"/>
      <c r="AJ161" s="526"/>
      <c r="AK161" s="526"/>
      <c r="AL161" s="526"/>
      <c r="AM161" s="526"/>
      <c r="AN161" s="526"/>
      <c r="AO161" s="526"/>
      <c r="AP161" s="526"/>
      <c r="AQ161" s="526"/>
      <c r="AR161" s="526"/>
      <c r="AS161" s="526"/>
      <c r="AT161" s="526"/>
      <c r="AU161" s="526"/>
      <c r="AV161" s="526"/>
      <c r="AW161" s="526"/>
      <c r="AX161" s="526"/>
      <c r="AY161" s="526"/>
      <c r="AZ161" s="526"/>
      <c r="BA161" s="526"/>
      <c r="BB161" s="526"/>
      <c r="BC161" s="526"/>
      <c r="BD161" s="526"/>
      <c r="BE161" s="526"/>
      <c r="BF161" s="526"/>
      <c r="BG161" s="526"/>
    </row>
    <row r="162" spans="1:59" s="830" customFormat="1" ht="17.25" customHeight="1" x14ac:dyDescent="0.25">
      <c r="A162" s="865"/>
      <c r="B162" s="865"/>
      <c r="C162" s="908"/>
      <c r="G162" s="865"/>
      <c r="H162" s="874"/>
      <c r="I162" s="869"/>
      <c r="J162" s="869"/>
      <c r="K162" s="869"/>
      <c r="L162" s="869"/>
      <c r="M162" s="874"/>
      <c r="O162" s="874"/>
      <c r="P162" s="874"/>
      <c r="Q162" s="874"/>
      <c r="R162" s="874"/>
      <c r="S162" s="874"/>
      <c r="T162" s="874"/>
      <c r="W162" s="874"/>
      <c r="X162" s="874"/>
      <c r="Y162" s="874"/>
      <c r="Z162" s="874"/>
      <c r="AA162" s="874"/>
      <c r="AD162" s="526"/>
      <c r="AE162" s="526"/>
      <c r="AF162" s="526"/>
      <c r="AG162" s="526"/>
      <c r="AH162" s="526"/>
      <c r="AI162" s="526"/>
      <c r="AJ162" s="526"/>
      <c r="AK162" s="526"/>
      <c r="AL162" s="526"/>
      <c r="AM162" s="526"/>
      <c r="AN162" s="526"/>
      <c r="AO162" s="526"/>
      <c r="AP162" s="526"/>
      <c r="AQ162" s="526"/>
      <c r="AR162" s="526"/>
      <c r="AS162" s="526"/>
      <c r="AT162" s="526"/>
      <c r="AU162" s="526"/>
      <c r="AV162" s="526"/>
      <c r="AW162" s="526"/>
      <c r="AX162" s="526"/>
      <c r="AY162" s="526"/>
      <c r="AZ162" s="526"/>
      <c r="BA162" s="526"/>
      <c r="BB162" s="526"/>
      <c r="BC162" s="526"/>
      <c r="BD162" s="526"/>
      <c r="BE162" s="526"/>
      <c r="BF162" s="526"/>
      <c r="BG162" s="526"/>
    </row>
    <row r="163" spans="1:59" s="830" customFormat="1" ht="17.25" customHeight="1" x14ac:dyDescent="0.25">
      <c r="A163" s="865"/>
      <c r="B163" s="865"/>
      <c r="C163" s="908"/>
      <c r="G163" s="865"/>
      <c r="H163" s="874"/>
      <c r="I163" s="869"/>
      <c r="J163" s="869"/>
      <c r="K163" s="869"/>
      <c r="L163" s="869"/>
      <c r="M163" s="874"/>
      <c r="O163" s="874"/>
      <c r="P163" s="874"/>
      <c r="Q163" s="874"/>
      <c r="R163" s="874"/>
      <c r="S163" s="874"/>
      <c r="T163" s="874"/>
      <c r="W163" s="874"/>
      <c r="X163" s="874"/>
      <c r="Y163" s="874"/>
      <c r="Z163" s="874"/>
      <c r="AA163" s="874"/>
      <c r="AD163" s="526"/>
      <c r="AE163" s="526"/>
      <c r="AF163" s="526"/>
      <c r="AG163" s="526"/>
      <c r="AH163" s="526"/>
      <c r="AI163" s="526"/>
      <c r="AJ163" s="526"/>
      <c r="AK163" s="526"/>
      <c r="AL163" s="526"/>
      <c r="AM163" s="526"/>
      <c r="AN163" s="526"/>
      <c r="AO163" s="526"/>
      <c r="AP163" s="526"/>
      <c r="AQ163" s="526"/>
      <c r="AR163" s="526"/>
      <c r="AS163" s="526"/>
      <c r="AT163" s="526"/>
      <c r="AU163" s="526"/>
      <c r="AV163" s="526"/>
      <c r="AW163" s="526"/>
      <c r="AX163" s="526"/>
      <c r="AY163" s="526"/>
      <c r="AZ163" s="526"/>
      <c r="BA163" s="526"/>
      <c r="BB163" s="526"/>
      <c r="BC163" s="526"/>
      <c r="BD163" s="526"/>
      <c r="BE163" s="526"/>
      <c r="BF163" s="526"/>
      <c r="BG163" s="526"/>
    </row>
    <row r="164" spans="1:59" s="830" customFormat="1" ht="17.25" customHeight="1" x14ac:dyDescent="0.25">
      <c r="A164" s="865"/>
      <c r="B164" s="865"/>
      <c r="C164" s="908"/>
      <c r="G164" s="865"/>
      <c r="H164" s="874"/>
      <c r="I164" s="869"/>
      <c r="J164" s="869"/>
      <c r="K164" s="869"/>
      <c r="L164" s="869"/>
      <c r="M164" s="874"/>
      <c r="O164" s="874"/>
      <c r="P164" s="874"/>
      <c r="Q164" s="874"/>
      <c r="R164" s="874"/>
      <c r="S164" s="874"/>
      <c r="T164" s="874"/>
      <c r="W164" s="874"/>
      <c r="X164" s="874"/>
      <c r="Y164" s="874"/>
      <c r="Z164" s="874"/>
      <c r="AA164" s="874"/>
      <c r="AD164" s="526"/>
      <c r="AE164" s="526"/>
      <c r="AF164" s="526"/>
      <c r="AG164" s="526"/>
      <c r="AH164" s="526"/>
      <c r="AI164" s="526"/>
      <c r="AJ164" s="526"/>
      <c r="AK164" s="526"/>
      <c r="AL164" s="526"/>
      <c r="AM164" s="526"/>
      <c r="AN164" s="526"/>
      <c r="AO164" s="526"/>
      <c r="AP164" s="526"/>
      <c r="AQ164" s="526"/>
      <c r="AR164" s="526"/>
      <c r="AS164" s="526"/>
      <c r="AT164" s="526"/>
      <c r="AU164" s="526"/>
      <c r="AV164" s="526"/>
      <c r="AW164" s="526"/>
      <c r="AX164" s="526"/>
      <c r="AY164" s="526"/>
      <c r="AZ164" s="526"/>
      <c r="BA164" s="526"/>
      <c r="BB164" s="526"/>
      <c r="BC164" s="526"/>
      <c r="BD164" s="526"/>
      <c r="BE164" s="526"/>
      <c r="BF164" s="526"/>
      <c r="BG164" s="526"/>
    </row>
    <row r="165" spans="1:59" s="830" customFormat="1" ht="17.25" customHeight="1" x14ac:dyDescent="0.25">
      <c r="A165" s="865"/>
      <c r="B165" s="865"/>
      <c r="C165" s="908"/>
      <c r="G165" s="865"/>
      <c r="H165" s="874"/>
      <c r="I165" s="869"/>
      <c r="J165" s="869"/>
      <c r="K165" s="869"/>
      <c r="L165" s="869"/>
      <c r="M165" s="874"/>
      <c r="O165" s="874"/>
      <c r="P165" s="874"/>
      <c r="Q165" s="874"/>
      <c r="R165" s="874"/>
      <c r="S165" s="874"/>
      <c r="T165" s="874"/>
      <c r="W165" s="874"/>
      <c r="X165" s="874"/>
      <c r="Y165" s="874"/>
      <c r="Z165" s="874"/>
      <c r="AA165" s="874"/>
      <c r="AD165" s="526"/>
      <c r="AE165" s="526"/>
      <c r="AF165" s="526"/>
      <c r="AG165" s="526"/>
      <c r="AH165" s="526"/>
      <c r="AI165" s="526"/>
      <c r="AJ165" s="526"/>
      <c r="AK165" s="526"/>
      <c r="AL165" s="526"/>
      <c r="AM165" s="526"/>
      <c r="AN165" s="526"/>
      <c r="AO165" s="526"/>
      <c r="AP165" s="526"/>
      <c r="AQ165" s="526"/>
      <c r="AR165" s="526"/>
      <c r="AS165" s="526"/>
      <c r="AT165" s="526"/>
      <c r="AU165" s="526"/>
      <c r="AV165" s="526"/>
      <c r="AW165" s="526"/>
      <c r="AX165" s="526"/>
      <c r="AY165" s="526"/>
      <c r="AZ165" s="526"/>
      <c r="BA165" s="526"/>
      <c r="BB165" s="526"/>
      <c r="BC165" s="526"/>
      <c r="BD165" s="526"/>
      <c r="BE165" s="526"/>
      <c r="BF165" s="526"/>
      <c r="BG165" s="526"/>
    </row>
    <row r="166" spans="1:59" s="830" customFormat="1" ht="17.25" customHeight="1" x14ac:dyDescent="0.25">
      <c r="A166" s="865"/>
      <c r="B166" s="865"/>
      <c r="C166" s="908"/>
      <c r="G166" s="865"/>
      <c r="H166" s="874"/>
      <c r="I166" s="869"/>
      <c r="J166" s="869"/>
      <c r="K166" s="869"/>
      <c r="L166" s="869"/>
      <c r="M166" s="874"/>
      <c r="O166" s="874"/>
      <c r="P166" s="874"/>
      <c r="Q166" s="874"/>
      <c r="R166" s="874"/>
      <c r="S166" s="874"/>
      <c r="T166" s="874"/>
      <c r="W166" s="874"/>
      <c r="X166" s="874"/>
      <c r="Y166" s="874"/>
      <c r="Z166" s="874"/>
      <c r="AA166" s="874"/>
      <c r="AD166" s="526"/>
      <c r="AE166" s="526"/>
      <c r="AF166" s="526"/>
      <c r="AG166" s="526"/>
      <c r="AH166" s="526"/>
      <c r="AI166" s="526"/>
      <c r="AJ166" s="526"/>
      <c r="AK166" s="526"/>
      <c r="AL166" s="526"/>
      <c r="AM166" s="526"/>
      <c r="AN166" s="526"/>
      <c r="AO166" s="526"/>
      <c r="AP166" s="526"/>
      <c r="AQ166" s="526"/>
      <c r="AR166" s="526"/>
      <c r="AS166" s="526"/>
      <c r="AT166" s="526"/>
      <c r="AU166" s="526"/>
      <c r="AV166" s="526"/>
      <c r="AW166" s="526"/>
      <c r="AX166" s="526"/>
      <c r="AY166" s="526"/>
      <c r="AZ166" s="526"/>
      <c r="BA166" s="526"/>
      <c r="BB166" s="526"/>
      <c r="BC166" s="526"/>
      <c r="BD166" s="526"/>
      <c r="BE166" s="526"/>
      <c r="BF166" s="526"/>
      <c r="BG166" s="526"/>
    </row>
    <row r="167" spans="1:59" s="830" customFormat="1" ht="17.25" customHeight="1" x14ac:dyDescent="0.25">
      <c r="A167" s="865"/>
      <c r="B167" s="865"/>
      <c r="C167" s="908"/>
      <c r="G167" s="865"/>
      <c r="H167" s="874"/>
      <c r="I167" s="869"/>
      <c r="J167" s="869"/>
      <c r="K167" s="869"/>
      <c r="L167" s="869"/>
      <c r="M167" s="874"/>
      <c r="O167" s="874"/>
      <c r="P167" s="874"/>
      <c r="Q167" s="874"/>
      <c r="R167" s="874"/>
      <c r="S167" s="874"/>
      <c r="T167" s="874"/>
      <c r="W167" s="874"/>
      <c r="X167" s="874"/>
      <c r="Y167" s="874"/>
      <c r="Z167" s="874"/>
      <c r="AA167" s="874"/>
      <c r="AD167" s="526"/>
      <c r="AE167" s="526"/>
      <c r="AF167" s="526"/>
      <c r="AG167" s="526"/>
      <c r="AH167" s="526"/>
      <c r="AI167" s="526"/>
      <c r="AJ167" s="526"/>
      <c r="AK167" s="526"/>
      <c r="AL167" s="526"/>
      <c r="AM167" s="526"/>
      <c r="AN167" s="526"/>
      <c r="AO167" s="526"/>
      <c r="AP167" s="526"/>
      <c r="AQ167" s="526"/>
      <c r="AR167" s="526"/>
      <c r="AS167" s="526"/>
      <c r="AT167" s="526"/>
      <c r="AU167" s="526"/>
      <c r="AV167" s="526"/>
      <c r="AW167" s="526"/>
      <c r="AX167" s="526"/>
      <c r="AY167" s="526"/>
      <c r="AZ167" s="526"/>
      <c r="BA167" s="526"/>
      <c r="BB167" s="526"/>
      <c r="BC167" s="526"/>
      <c r="BD167" s="526"/>
      <c r="BE167" s="526"/>
      <c r="BF167" s="526"/>
      <c r="BG167" s="526"/>
    </row>
    <row r="168" spans="1:59" s="830" customFormat="1" ht="17.25" customHeight="1" x14ac:dyDescent="0.25">
      <c r="A168" s="865"/>
      <c r="B168" s="865"/>
      <c r="C168" s="908"/>
      <c r="G168" s="865"/>
      <c r="H168" s="874"/>
      <c r="I168" s="869"/>
      <c r="J168" s="869"/>
      <c r="K168" s="869"/>
      <c r="L168" s="869"/>
      <c r="M168" s="874"/>
      <c r="O168" s="874"/>
      <c r="P168" s="874"/>
      <c r="Q168" s="874"/>
      <c r="R168" s="874"/>
      <c r="S168" s="874"/>
      <c r="T168" s="874"/>
      <c r="W168" s="874"/>
      <c r="X168" s="874"/>
      <c r="Y168" s="874"/>
      <c r="Z168" s="874"/>
      <c r="AA168" s="874"/>
      <c r="AD168" s="526"/>
      <c r="AE168" s="526"/>
      <c r="AF168" s="526"/>
      <c r="AG168" s="526"/>
      <c r="AH168" s="526"/>
      <c r="AI168" s="526"/>
      <c r="AJ168" s="526"/>
      <c r="AK168" s="526"/>
      <c r="AL168" s="526"/>
      <c r="AM168" s="526"/>
      <c r="AN168" s="526"/>
      <c r="AO168" s="526"/>
      <c r="AP168" s="526"/>
      <c r="AQ168" s="526"/>
      <c r="AR168" s="526"/>
      <c r="AS168" s="526"/>
      <c r="AT168" s="526"/>
      <c r="AU168" s="526"/>
      <c r="AV168" s="526"/>
      <c r="AW168" s="526"/>
      <c r="AX168" s="526"/>
      <c r="AY168" s="526"/>
      <c r="AZ168" s="526"/>
      <c r="BA168" s="526"/>
      <c r="BB168" s="526"/>
      <c r="BC168" s="526"/>
      <c r="BD168" s="526"/>
      <c r="BE168" s="526"/>
      <c r="BF168" s="526"/>
      <c r="BG168" s="526"/>
    </row>
    <row r="169" spans="1:59" s="830" customFormat="1" ht="17.25" customHeight="1" x14ac:dyDescent="0.25">
      <c r="A169" s="865"/>
      <c r="B169" s="865"/>
      <c r="C169" s="908"/>
      <c r="G169" s="865"/>
      <c r="H169" s="874"/>
      <c r="I169" s="869"/>
      <c r="J169" s="869"/>
      <c r="K169" s="869"/>
      <c r="L169" s="869"/>
      <c r="M169" s="874"/>
      <c r="O169" s="874"/>
      <c r="P169" s="874"/>
      <c r="Q169" s="874"/>
      <c r="R169" s="874"/>
      <c r="S169" s="874"/>
      <c r="T169" s="874"/>
      <c r="W169" s="874"/>
      <c r="X169" s="874"/>
      <c r="Y169" s="874"/>
      <c r="Z169" s="874"/>
      <c r="AA169" s="874"/>
      <c r="AD169" s="526"/>
      <c r="AE169" s="526"/>
      <c r="AF169" s="526"/>
      <c r="AG169" s="526"/>
      <c r="AH169" s="526"/>
      <c r="AI169" s="526"/>
      <c r="AJ169" s="526"/>
      <c r="AK169" s="526"/>
      <c r="AL169" s="526"/>
      <c r="AM169" s="526"/>
      <c r="AN169" s="526"/>
      <c r="AO169" s="526"/>
      <c r="AP169" s="526"/>
      <c r="AQ169" s="526"/>
      <c r="AR169" s="526"/>
      <c r="AS169" s="526"/>
      <c r="AT169" s="526"/>
      <c r="AU169" s="526"/>
      <c r="AV169" s="526"/>
      <c r="AW169" s="526"/>
      <c r="AX169" s="526"/>
      <c r="AY169" s="526"/>
      <c r="AZ169" s="526"/>
      <c r="BA169" s="526"/>
      <c r="BB169" s="526"/>
      <c r="BC169" s="526"/>
      <c r="BD169" s="526"/>
      <c r="BE169" s="526"/>
      <c r="BF169" s="526"/>
      <c r="BG169" s="526"/>
    </row>
    <row r="170" spans="1:59" s="830" customFormat="1" ht="17.25" customHeight="1" x14ac:dyDescent="0.25">
      <c r="A170" s="865"/>
      <c r="B170" s="865"/>
      <c r="C170" s="908"/>
      <c r="G170" s="865"/>
      <c r="H170" s="874"/>
      <c r="I170" s="869"/>
      <c r="J170" s="869"/>
      <c r="K170" s="869"/>
      <c r="L170" s="869"/>
      <c r="M170" s="874"/>
      <c r="O170" s="874"/>
      <c r="P170" s="874"/>
      <c r="Q170" s="874"/>
      <c r="R170" s="874"/>
      <c r="S170" s="874"/>
      <c r="T170" s="874"/>
      <c r="W170" s="874"/>
      <c r="X170" s="874"/>
      <c r="Y170" s="874"/>
      <c r="Z170" s="874"/>
      <c r="AA170" s="874"/>
      <c r="AD170" s="526"/>
      <c r="AE170" s="526"/>
      <c r="AF170" s="526"/>
      <c r="AG170" s="526"/>
      <c r="AH170" s="526"/>
      <c r="AI170" s="526"/>
      <c r="AJ170" s="526"/>
      <c r="AK170" s="526"/>
      <c r="AL170" s="526"/>
      <c r="AM170" s="526"/>
      <c r="AN170" s="526"/>
      <c r="AO170" s="526"/>
      <c r="AP170" s="526"/>
      <c r="AQ170" s="526"/>
      <c r="AR170" s="526"/>
      <c r="AS170" s="526"/>
      <c r="AT170" s="526"/>
      <c r="AU170" s="526"/>
      <c r="AV170" s="526"/>
      <c r="AW170" s="526"/>
      <c r="AX170" s="526"/>
      <c r="AY170" s="526"/>
      <c r="AZ170" s="526"/>
      <c r="BA170" s="526"/>
      <c r="BB170" s="526"/>
      <c r="BC170" s="526"/>
      <c r="BD170" s="526"/>
      <c r="BE170" s="526"/>
      <c r="BF170" s="526"/>
      <c r="BG170" s="526"/>
    </row>
    <row r="171" spans="1:59" s="830" customFormat="1" ht="17.25" customHeight="1" x14ac:dyDescent="0.25">
      <c r="A171" s="865"/>
      <c r="B171" s="865"/>
      <c r="C171" s="908"/>
      <c r="G171" s="865"/>
      <c r="H171" s="874"/>
      <c r="I171" s="869"/>
      <c r="J171" s="869"/>
      <c r="K171" s="869"/>
      <c r="L171" s="869"/>
      <c r="M171" s="874"/>
      <c r="O171" s="874"/>
      <c r="P171" s="874"/>
      <c r="Q171" s="874"/>
      <c r="R171" s="874"/>
      <c r="S171" s="874"/>
      <c r="T171" s="874"/>
      <c r="W171" s="874"/>
      <c r="X171" s="874"/>
      <c r="Y171" s="874"/>
      <c r="Z171" s="874"/>
      <c r="AA171" s="874"/>
      <c r="AD171" s="526"/>
      <c r="AE171" s="526"/>
      <c r="AF171" s="526"/>
      <c r="AG171" s="526"/>
      <c r="AH171" s="526"/>
      <c r="AI171" s="526"/>
      <c r="AJ171" s="526"/>
      <c r="AK171" s="526"/>
      <c r="AL171" s="526"/>
      <c r="AM171" s="526"/>
      <c r="AN171" s="526"/>
      <c r="AO171" s="526"/>
      <c r="AP171" s="526"/>
      <c r="AQ171" s="526"/>
      <c r="AR171" s="526"/>
      <c r="AS171" s="526"/>
      <c r="AT171" s="526"/>
      <c r="AU171" s="526"/>
      <c r="AV171" s="526"/>
      <c r="AW171" s="526"/>
      <c r="AX171" s="526"/>
      <c r="AY171" s="526"/>
      <c r="AZ171" s="526"/>
      <c r="BA171" s="526"/>
      <c r="BB171" s="526"/>
      <c r="BC171" s="526"/>
      <c r="BD171" s="526"/>
      <c r="BE171" s="526"/>
      <c r="BF171" s="526"/>
      <c r="BG171" s="526"/>
    </row>
    <row r="172" spans="1:59" s="830" customFormat="1" ht="17.25" customHeight="1" x14ac:dyDescent="0.25">
      <c r="A172" s="865"/>
      <c r="B172" s="865"/>
      <c r="C172" s="908"/>
      <c r="G172" s="865"/>
      <c r="H172" s="874"/>
      <c r="I172" s="869"/>
      <c r="J172" s="869"/>
      <c r="K172" s="869"/>
      <c r="L172" s="869"/>
      <c r="M172" s="874"/>
      <c r="O172" s="874"/>
      <c r="P172" s="874"/>
      <c r="Q172" s="874"/>
      <c r="R172" s="874"/>
      <c r="S172" s="874"/>
      <c r="T172" s="874"/>
      <c r="W172" s="874"/>
      <c r="X172" s="874"/>
      <c r="Y172" s="874"/>
      <c r="Z172" s="874"/>
      <c r="AA172" s="874"/>
      <c r="AD172" s="526"/>
      <c r="AE172" s="526"/>
      <c r="AF172" s="526"/>
      <c r="AG172" s="526"/>
      <c r="AH172" s="526"/>
      <c r="AI172" s="526"/>
      <c r="AJ172" s="526"/>
      <c r="AK172" s="526"/>
      <c r="AL172" s="526"/>
      <c r="AM172" s="526"/>
      <c r="AN172" s="526"/>
      <c r="AO172" s="526"/>
      <c r="AP172" s="526"/>
      <c r="AQ172" s="526"/>
      <c r="AR172" s="526"/>
      <c r="AS172" s="526"/>
      <c r="AT172" s="526"/>
      <c r="AU172" s="526"/>
      <c r="AV172" s="526"/>
      <c r="AW172" s="526"/>
      <c r="AX172" s="526"/>
      <c r="AY172" s="526"/>
      <c r="AZ172" s="526"/>
      <c r="BA172" s="526"/>
      <c r="BB172" s="526"/>
      <c r="BC172" s="526"/>
      <c r="BD172" s="526"/>
      <c r="BE172" s="526"/>
      <c r="BF172" s="526"/>
      <c r="BG172" s="526"/>
    </row>
    <row r="173" spans="1:59" s="830" customFormat="1" ht="17.25" customHeight="1" x14ac:dyDescent="0.25">
      <c r="A173" s="865"/>
      <c r="B173" s="865"/>
      <c r="C173" s="908"/>
      <c r="G173" s="865"/>
      <c r="H173" s="874"/>
      <c r="I173" s="869"/>
      <c r="J173" s="869"/>
      <c r="K173" s="869"/>
      <c r="L173" s="869"/>
      <c r="M173" s="874"/>
      <c r="O173" s="874"/>
      <c r="P173" s="874"/>
      <c r="Q173" s="874"/>
      <c r="R173" s="874"/>
      <c r="S173" s="874"/>
      <c r="T173" s="874"/>
      <c r="W173" s="874"/>
      <c r="X173" s="874"/>
      <c r="Y173" s="874"/>
      <c r="Z173" s="874"/>
      <c r="AA173" s="874"/>
      <c r="AD173" s="526"/>
      <c r="AE173" s="526"/>
      <c r="AF173" s="526"/>
      <c r="AG173" s="526"/>
      <c r="AH173" s="526"/>
      <c r="AI173" s="526"/>
      <c r="AJ173" s="526"/>
      <c r="AK173" s="526"/>
      <c r="AL173" s="526"/>
      <c r="AM173" s="526"/>
      <c r="AN173" s="526"/>
      <c r="AO173" s="526"/>
      <c r="AP173" s="526"/>
      <c r="AQ173" s="526"/>
      <c r="AR173" s="526"/>
      <c r="AS173" s="526"/>
      <c r="AT173" s="526"/>
      <c r="AU173" s="526"/>
      <c r="AV173" s="526"/>
      <c r="AW173" s="526"/>
      <c r="AX173" s="526"/>
      <c r="AY173" s="526"/>
      <c r="AZ173" s="526"/>
      <c r="BA173" s="526"/>
      <c r="BB173" s="526"/>
      <c r="BC173" s="526"/>
      <c r="BD173" s="526"/>
      <c r="BE173" s="526"/>
      <c r="BF173" s="526"/>
      <c r="BG173" s="526"/>
    </row>
    <row r="174" spans="1:59" s="830" customFormat="1" ht="17.25" customHeight="1" x14ac:dyDescent="0.25">
      <c r="A174" s="865"/>
      <c r="B174" s="865"/>
      <c r="C174" s="908"/>
      <c r="G174" s="865"/>
      <c r="H174" s="874"/>
      <c r="I174" s="869"/>
      <c r="J174" s="869"/>
      <c r="K174" s="869"/>
      <c r="L174" s="869"/>
      <c r="M174" s="874"/>
      <c r="O174" s="874"/>
      <c r="P174" s="874"/>
      <c r="Q174" s="874"/>
      <c r="R174" s="874"/>
      <c r="S174" s="874"/>
      <c r="T174" s="874"/>
      <c r="W174" s="874"/>
      <c r="X174" s="874"/>
      <c r="Y174" s="874"/>
      <c r="Z174" s="874"/>
      <c r="AA174" s="874"/>
      <c r="AD174" s="526"/>
      <c r="AE174" s="526"/>
      <c r="AF174" s="526"/>
      <c r="AG174" s="526"/>
      <c r="AH174" s="526"/>
      <c r="AI174" s="526"/>
      <c r="AJ174" s="526"/>
      <c r="AK174" s="526"/>
      <c r="AL174" s="526"/>
      <c r="AM174" s="526"/>
      <c r="AN174" s="526"/>
      <c r="AO174" s="526"/>
      <c r="AP174" s="526"/>
      <c r="AQ174" s="526"/>
      <c r="AR174" s="526"/>
      <c r="AS174" s="526"/>
      <c r="AT174" s="526"/>
      <c r="AU174" s="526"/>
      <c r="AV174" s="526"/>
      <c r="AW174" s="526"/>
      <c r="AX174" s="526"/>
      <c r="AY174" s="526"/>
      <c r="AZ174" s="526"/>
      <c r="BA174" s="526"/>
      <c r="BB174" s="526"/>
      <c r="BC174" s="526"/>
      <c r="BD174" s="526"/>
      <c r="BE174" s="526"/>
      <c r="BF174" s="526"/>
      <c r="BG174" s="526"/>
    </row>
    <row r="175" spans="1:59" s="830" customFormat="1" ht="17.25" customHeight="1" x14ac:dyDescent="0.25">
      <c r="A175" s="865"/>
      <c r="B175" s="865"/>
      <c r="C175" s="908"/>
      <c r="G175" s="865"/>
      <c r="H175" s="874"/>
      <c r="I175" s="869"/>
      <c r="J175" s="869"/>
      <c r="K175" s="869"/>
      <c r="L175" s="869"/>
      <c r="M175" s="874"/>
      <c r="O175" s="874"/>
      <c r="P175" s="874"/>
      <c r="Q175" s="874"/>
      <c r="R175" s="874"/>
      <c r="S175" s="874"/>
      <c r="T175" s="874"/>
      <c r="W175" s="874"/>
      <c r="X175" s="874"/>
      <c r="Y175" s="874"/>
      <c r="Z175" s="874"/>
      <c r="AA175" s="874"/>
      <c r="AD175" s="526"/>
      <c r="AE175" s="526"/>
      <c r="AF175" s="526"/>
      <c r="AG175" s="526"/>
      <c r="AH175" s="526"/>
      <c r="AI175" s="526"/>
      <c r="AJ175" s="526"/>
      <c r="AK175" s="526"/>
      <c r="AL175" s="526"/>
      <c r="AM175" s="526"/>
      <c r="AN175" s="526"/>
      <c r="AO175" s="526"/>
      <c r="AP175" s="526"/>
      <c r="AQ175" s="526"/>
      <c r="AR175" s="526"/>
      <c r="AS175" s="526"/>
      <c r="AT175" s="526"/>
      <c r="AU175" s="526"/>
      <c r="AV175" s="526"/>
      <c r="AW175" s="526"/>
      <c r="AX175" s="526"/>
      <c r="AY175" s="526"/>
      <c r="AZ175" s="526"/>
      <c r="BA175" s="526"/>
      <c r="BB175" s="526"/>
      <c r="BC175" s="526"/>
      <c r="BD175" s="526"/>
      <c r="BE175" s="526"/>
      <c r="BF175" s="526"/>
      <c r="BG175" s="526"/>
    </row>
    <row r="176" spans="1:59" s="830" customFormat="1" ht="17.25" customHeight="1" x14ac:dyDescent="0.25">
      <c r="A176" s="865"/>
      <c r="B176" s="865"/>
      <c r="C176" s="908"/>
      <c r="G176" s="865"/>
      <c r="H176" s="874"/>
      <c r="I176" s="869"/>
      <c r="J176" s="869"/>
      <c r="K176" s="869"/>
      <c r="L176" s="869"/>
      <c r="M176" s="874"/>
      <c r="O176" s="874"/>
      <c r="P176" s="874"/>
      <c r="Q176" s="874"/>
      <c r="R176" s="874"/>
      <c r="S176" s="874"/>
      <c r="T176" s="874"/>
      <c r="W176" s="874"/>
      <c r="X176" s="874"/>
      <c r="Y176" s="874"/>
      <c r="Z176" s="874"/>
      <c r="AA176" s="874"/>
      <c r="AD176" s="526"/>
      <c r="AE176" s="526"/>
      <c r="AF176" s="526"/>
      <c r="AG176" s="526"/>
      <c r="AH176" s="526"/>
      <c r="AI176" s="526"/>
      <c r="AJ176" s="526"/>
      <c r="AK176" s="526"/>
      <c r="AL176" s="526"/>
      <c r="AM176" s="526"/>
      <c r="AN176" s="526"/>
      <c r="AO176" s="526"/>
      <c r="AP176" s="526"/>
      <c r="AQ176" s="526"/>
      <c r="AR176" s="526"/>
      <c r="AS176" s="526"/>
      <c r="AT176" s="526"/>
      <c r="AU176" s="526"/>
      <c r="AV176" s="526"/>
      <c r="AW176" s="526"/>
      <c r="AX176" s="526"/>
      <c r="AY176" s="526"/>
      <c r="AZ176" s="526"/>
      <c r="BA176" s="526"/>
      <c r="BB176" s="526"/>
      <c r="BC176" s="526"/>
      <c r="BD176" s="526"/>
      <c r="BE176" s="526"/>
      <c r="BF176" s="526"/>
      <c r="BG176" s="526"/>
    </row>
    <row r="177" spans="1:59" s="830" customFormat="1" ht="17.25" customHeight="1" x14ac:dyDescent="0.25">
      <c r="A177" s="865"/>
      <c r="B177" s="865"/>
      <c r="C177" s="908"/>
      <c r="G177" s="865"/>
      <c r="H177" s="874"/>
      <c r="I177" s="869"/>
      <c r="J177" s="869"/>
      <c r="K177" s="869"/>
      <c r="L177" s="869"/>
      <c r="M177" s="874"/>
      <c r="O177" s="874"/>
      <c r="P177" s="874"/>
      <c r="Q177" s="874"/>
      <c r="R177" s="874"/>
      <c r="S177" s="874"/>
      <c r="T177" s="874"/>
      <c r="W177" s="874"/>
      <c r="X177" s="874"/>
      <c r="Y177" s="874"/>
      <c r="Z177" s="874"/>
      <c r="AA177" s="874"/>
      <c r="AD177" s="526"/>
      <c r="AE177" s="526"/>
      <c r="AF177" s="526"/>
      <c r="AG177" s="526"/>
      <c r="AH177" s="526"/>
      <c r="AI177" s="526"/>
      <c r="AJ177" s="526"/>
      <c r="AK177" s="526"/>
      <c r="AL177" s="526"/>
      <c r="AM177" s="526"/>
      <c r="AN177" s="526"/>
      <c r="AO177" s="526"/>
      <c r="AP177" s="526"/>
      <c r="AQ177" s="526"/>
      <c r="AR177" s="526"/>
      <c r="AS177" s="526"/>
      <c r="AT177" s="526"/>
      <c r="AU177" s="526"/>
      <c r="AV177" s="526"/>
      <c r="AW177" s="526"/>
      <c r="AX177" s="526"/>
      <c r="AY177" s="526"/>
      <c r="AZ177" s="526"/>
      <c r="BA177" s="526"/>
      <c r="BB177" s="526"/>
      <c r="BC177" s="526"/>
      <c r="BD177" s="526"/>
      <c r="BE177" s="526"/>
      <c r="BF177" s="526"/>
      <c r="BG177" s="526"/>
    </row>
    <row r="178" spans="1:59" s="830" customFormat="1" ht="17.25" customHeight="1" x14ac:dyDescent="0.25">
      <c r="A178" s="865"/>
      <c r="B178" s="865"/>
      <c r="C178" s="908"/>
      <c r="G178" s="865"/>
      <c r="H178" s="874"/>
      <c r="I178" s="869"/>
      <c r="J178" s="869"/>
      <c r="K178" s="869"/>
      <c r="L178" s="869"/>
      <c r="M178" s="874"/>
      <c r="O178" s="874"/>
      <c r="P178" s="874"/>
      <c r="Q178" s="874"/>
      <c r="R178" s="874"/>
      <c r="S178" s="874"/>
      <c r="T178" s="874"/>
      <c r="W178" s="874"/>
      <c r="X178" s="874"/>
      <c r="Y178" s="874"/>
      <c r="Z178" s="874"/>
      <c r="AA178" s="874"/>
      <c r="AD178" s="526"/>
      <c r="AE178" s="526"/>
      <c r="AF178" s="526"/>
      <c r="AG178" s="526"/>
      <c r="AH178" s="526"/>
      <c r="AI178" s="526"/>
      <c r="AJ178" s="526"/>
      <c r="AK178" s="526"/>
      <c r="AL178" s="526"/>
      <c r="AM178" s="526"/>
      <c r="AN178" s="526"/>
      <c r="AO178" s="526"/>
      <c r="AP178" s="526"/>
      <c r="AQ178" s="526"/>
      <c r="AR178" s="526"/>
      <c r="AS178" s="526"/>
      <c r="AT178" s="526"/>
      <c r="AU178" s="526"/>
      <c r="AV178" s="526"/>
      <c r="AW178" s="526"/>
      <c r="AX178" s="526"/>
      <c r="AY178" s="526"/>
      <c r="AZ178" s="526"/>
      <c r="BA178" s="526"/>
      <c r="BB178" s="526"/>
      <c r="BC178" s="526"/>
      <c r="BD178" s="526"/>
      <c r="BE178" s="526"/>
      <c r="BF178" s="526"/>
      <c r="BG178" s="526"/>
    </row>
    <row r="179" spans="1:59" s="830" customFormat="1" ht="17.25" customHeight="1" x14ac:dyDescent="0.25">
      <c r="A179" s="865"/>
      <c r="B179" s="865"/>
      <c r="C179" s="908"/>
      <c r="G179" s="865"/>
      <c r="H179" s="874"/>
      <c r="I179" s="869"/>
      <c r="J179" s="869"/>
      <c r="K179" s="869"/>
      <c r="L179" s="869"/>
      <c r="M179" s="874"/>
      <c r="O179" s="874"/>
      <c r="P179" s="874"/>
      <c r="Q179" s="874"/>
      <c r="R179" s="874"/>
      <c r="S179" s="874"/>
      <c r="T179" s="874"/>
      <c r="W179" s="874"/>
      <c r="X179" s="874"/>
      <c r="Y179" s="874"/>
      <c r="Z179" s="874"/>
      <c r="AA179" s="874"/>
      <c r="AD179" s="526"/>
      <c r="AE179" s="526"/>
      <c r="AF179" s="526"/>
      <c r="AG179" s="526"/>
      <c r="AH179" s="526"/>
      <c r="AI179" s="526"/>
      <c r="AJ179" s="526"/>
      <c r="AK179" s="526"/>
      <c r="AL179" s="526"/>
      <c r="AM179" s="526"/>
      <c r="AN179" s="526"/>
      <c r="AO179" s="526"/>
      <c r="AP179" s="526"/>
      <c r="AQ179" s="526"/>
      <c r="AR179" s="526"/>
      <c r="AS179" s="526"/>
      <c r="AT179" s="526"/>
      <c r="AU179" s="526"/>
      <c r="AV179" s="526"/>
      <c r="AW179" s="526"/>
      <c r="AX179" s="526"/>
      <c r="AY179" s="526"/>
      <c r="AZ179" s="526"/>
      <c r="BA179" s="526"/>
      <c r="BB179" s="526"/>
      <c r="BC179" s="526"/>
      <c r="BD179" s="526"/>
      <c r="BE179" s="526"/>
      <c r="BF179" s="526"/>
      <c r="BG179" s="526"/>
    </row>
    <row r="180" spans="1:59" s="830" customFormat="1" ht="17.25" customHeight="1" x14ac:dyDescent="0.25">
      <c r="A180" s="865"/>
      <c r="B180" s="865"/>
      <c r="C180" s="908"/>
      <c r="G180" s="865"/>
      <c r="H180" s="874"/>
      <c r="I180" s="869"/>
      <c r="J180" s="869"/>
      <c r="K180" s="869"/>
      <c r="L180" s="869"/>
      <c r="M180" s="874"/>
      <c r="O180" s="874"/>
      <c r="P180" s="874"/>
      <c r="Q180" s="874"/>
      <c r="R180" s="874"/>
      <c r="S180" s="874"/>
      <c r="T180" s="874"/>
      <c r="W180" s="874"/>
      <c r="X180" s="874"/>
      <c r="Y180" s="874"/>
      <c r="Z180" s="874"/>
      <c r="AA180" s="874"/>
      <c r="AD180" s="526"/>
      <c r="AE180" s="526"/>
      <c r="AF180" s="526"/>
      <c r="AG180" s="526"/>
      <c r="AH180" s="526"/>
      <c r="AI180" s="526"/>
      <c r="AJ180" s="526"/>
      <c r="AK180" s="526"/>
      <c r="AL180" s="526"/>
      <c r="AM180" s="526"/>
      <c r="AN180" s="526"/>
      <c r="AO180" s="526"/>
      <c r="AP180" s="526"/>
      <c r="AQ180" s="526"/>
      <c r="AR180" s="526"/>
      <c r="AS180" s="526"/>
      <c r="AT180" s="526"/>
      <c r="AU180" s="526"/>
      <c r="AV180" s="526"/>
      <c r="AW180" s="526"/>
      <c r="AX180" s="526"/>
      <c r="AY180" s="526"/>
      <c r="AZ180" s="526"/>
      <c r="BA180" s="526"/>
      <c r="BB180" s="526"/>
      <c r="BC180" s="526"/>
      <c r="BD180" s="526"/>
      <c r="BE180" s="526"/>
      <c r="BF180" s="526"/>
      <c r="BG180" s="526"/>
    </row>
    <row r="181" spans="1:59" s="830" customFormat="1" ht="17.25" customHeight="1" x14ac:dyDescent="0.25">
      <c r="A181" s="865"/>
      <c r="B181" s="865"/>
      <c r="C181" s="908"/>
      <c r="G181" s="865"/>
      <c r="H181" s="874"/>
      <c r="I181" s="869"/>
      <c r="J181" s="869"/>
      <c r="K181" s="869"/>
      <c r="L181" s="869"/>
      <c r="M181" s="874"/>
      <c r="O181" s="874"/>
      <c r="P181" s="874"/>
      <c r="Q181" s="874"/>
      <c r="R181" s="874"/>
      <c r="S181" s="874"/>
      <c r="T181" s="874"/>
      <c r="W181" s="874"/>
      <c r="X181" s="874"/>
      <c r="Y181" s="874"/>
      <c r="Z181" s="874"/>
      <c r="AA181" s="874"/>
      <c r="AD181" s="526"/>
      <c r="AE181" s="526"/>
      <c r="AF181" s="526"/>
      <c r="AG181" s="526"/>
      <c r="AH181" s="526"/>
      <c r="AI181" s="526"/>
      <c r="AJ181" s="526"/>
      <c r="AK181" s="526"/>
      <c r="AL181" s="526"/>
      <c r="AM181" s="526"/>
      <c r="AN181" s="526"/>
      <c r="AO181" s="526"/>
      <c r="AP181" s="526"/>
      <c r="AQ181" s="526"/>
      <c r="AR181" s="526"/>
      <c r="AS181" s="526"/>
      <c r="AT181" s="526"/>
      <c r="AU181" s="526"/>
      <c r="AV181" s="526"/>
      <c r="AW181" s="526"/>
      <c r="AX181" s="526"/>
      <c r="AY181" s="526"/>
      <c r="AZ181" s="526"/>
      <c r="BA181" s="526"/>
      <c r="BB181" s="526"/>
      <c r="BC181" s="526"/>
      <c r="BD181" s="526"/>
      <c r="BE181" s="526"/>
      <c r="BF181" s="526"/>
      <c r="BG181" s="526"/>
    </row>
    <row r="182" spans="1:59" s="830" customFormat="1" ht="17.25" customHeight="1" x14ac:dyDescent="0.25">
      <c r="A182" s="865"/>
      <c r="B182" s="865"/>
      <c r="C182" s="908"/>
      <c r="G182" s="865"/>
      <c r="H182" s="874"/>
      <c r="I182" s="869"/>
      <c r="J182" s="869"/>
      <c r="K182" s="869"/>
      <c r="L182" s="869"/>
      <c r="M182" s="874"/>
      <c r="O182" s="874"/>
      <c r="P182" s="874"/>
      <c r="Q182" s="874"/>
      <c r="R182" s="874"/>
      <c r="S182" s="874"/>
      <c r="T182" s="874"/>
      <c r="W182" s="874"/>
      <c r="X182" s="874"/>
      <c r="Y182" s="874"/>
      <c r="Z182" s="874"/>
      <c r="AA182" s="874"/>
      <c r="AD182" s="526"/>
      <c r="AE182" s="526"/>
      <c r="AF182" s="526"/>
      <c r="AG182" s="526"/>
      <c r="AH182" s="526"/>
      <c r="AI182" s="526"/>
      <c r="AJ182" s="526"/>
      <c r="AK182" s="526"/>
      <c r="AL182" s="526"/>
      <c r="AM182" s="526"/>
      <c r="AN182" s="526"/>
      <c r="AO182" s="526"/>
      <c r="AP182" s="526"/>
      <c r="AQ182" s="526"/>
      <c r="AR182" s="526"/>
      <c r="AS182" s="526"/>
      <c r="AT182" s="526"/>
      <c r="AU182" s="526"/>
      <c r="AV182" s="526"/>
      <c r="AW182" s="526"/>
      <c r="AX182" s="526"/>
      <c r="AY182" s="526"/>
      <c r="AZ182" s="526"/>
      <c r="BA182" s="526"/>
      <c r="BB182" s="526"/>
      <c r="BC182" s="526"/>
      <c r="BD182" s="526"/>
      <c r="BE182" s="526"/>
      <c r="BF182" s="526"/>
      <c r="BG182" s="526"/>
    </row>
    <row r="183" spans="1:59" s="830" customFormat="1" ht="17.25" customHeight="1" x14ac:dyDescent="0.25">
      <c r="A183" s="865"/>
      <c r="B183" s="865"/>
      <c r="C183" s="908"/>
      <c r="G183" s="865"/>
      <c r="H183" s="874"/>
      <c r="I183" s="869"/>
      <c r="J183" s="869"/>
      <c r="K183" s="869"/>
      <c r="L183" s="869"/>
      <c r="M183" s="874"/>
      <c r="O183" s="874"/>
      <c r="P183" s="874"/>
      <c r="Q183" s="874"/>
      <c r="R183" s="874"/>
      <c r="S183" s="874"/>
      <c r="T183" s="874"/>
      <c r="W183" s="874"/>
      <c r="X183" s="874"/>
      <c r="Y183" s="874"/>
      <c r="Z183" s="874"/>
      <c r="AA183" s="874"/>
      <c r="AD183" s="526"/>
      <c r="AE183" s="526"/>
      <c r="AF183" s="526"/>
      <c r="AG183" s="526"/>
      <c r="AH183" s="526"/>
      <c r="AI183" s="526"/>
      <c r="AJ183" s="526"/>
      <c r="AK183" s="526"/>
      <c r="AL183" s="526"/>
      <c r="AM183" s="526"/>
      <c r="AN183" s="526"/>
      <c r="AO183" s="526"/>
      <c r="AP183" s="526"/>
      <c r="AQ183" s="526"/>
      <c r="AR183" s="526"/>
      <c r="AS183" s="526"/>
      <c r="AT183" s="526"/>
      <c r="AU183" s="526"/>
      <c r="AV183" s="526"/>
      <c r="AW183" s="526"/>
      <c r="AX183" s="526"/>
      <c r="AY183" s="526"/>
      <c r="AZ183" s="526"/>
      <c r="BA183" s="526"/>
      <c r="BB183" s="526"/>
      <c r="BC183" s="526"/>
      <c r="BD183" s="526"/>
      <c r="BE183" s="526"/>
      <c r="BF183" s="526"/>
      <c r="BG183" s="526"/>
    </row>
    <row r="184" spans="1:59" s="830" customFormat="1" ht="17.25" customHeight="1" x14ac:dyDescent="0.25">
      <c r="A184" s="865"/>
      <c r="B184" s="865"/>
      <c r="C184" s="908"/>
      <c r="G184" s="865"/>
      <c r="H184" s="874"/>
      <c r="I184" s="869"/>
      <c r="J184" s="869"/>
      <c r="K184" s="869"/>
      <c r="L184" s="869"/>
      <c r="M184" s="874"/>
      <c r="O184" s="874"/>
      <c r="P184" s="874"/>
      <c r="Q184" s="874"/>
      <c r="R184" s="874"/>
      <c r="S184" s="874"/>
      <c r="T184" s="874"/>
      <c r="W184" s="874"/>
      <c r="X184" s="874"/>
      <c r="Y184" s="874"/>
      <c r="Z184" s="874"/>
      <c r="AA184" s="874"/>
      <c r="AD184" s="526"/>
      <c r="AE184" s="526"/>
      <c r="AF184" s="526"/>
      <c r="AG184" s="526"/>
      <c r="AH184" s="526"/>
      <c r="AI184" s="526"/>
      <c r="AJ184" s="526"/>
      <c r="AK184" s="526"/>
      <c r="AL184" s="526"/>
      <c r="AM184" s="526"/>
      <c r="AN184" s="526"/>
      <c r="AO184" s="526"/>
      <c r="AP184" s="526"/>
      <c r="AQ184" s="526"/>
      <c r="AR184" s="526"/>
      <c r="AS184" s="526"/>
      <c r="AT184" s="526"/>
      <c r="AU184" s="526"/>
      <c r="AV184" s="526"/>
      <c r="AW184" s="526"/>
      <c r="AX184" s="526"/>
      <c r="AY184" s="526"/>
      <c r="AZ184" s="526"/>
      <c r="BA184" s="526"/>
      <c r="BB184" s="526"/>
      <c r="BC184" s="526"/>
      <c r="BD184" s="526"/>
      <c r="BE184" s="526"/>
      <c r="BF184" s="526"/>
      <c r="BG184" s="526"/>
    </row>
    <row r="185" spans="1:59" s="830" customFormat="1" ht="17.25" customHeight="1" x14ac:dyDescent="0.25">
      <c r="A185" s="865"/>
      <c r="B185" s="865"/>
      <c r="C185" s="908"/>
      <c r="G185" s="865"/>
      <c r="H185" s="874"/>
      <c r="I185" s="869"/>
      <c r="J185" s="869"/>
      <c r="K185" s="869"/>
      <c r="L185" s="869"/>
      <c r="M185" s="874"/>
      <c r="O185" s="874"/>
      <c r="P185" s="874"/>
      <c r="Q185" s="874"/>
      <c r="R185" s="874"/>
      <c r="S185" s="874"/>
      <c r="T185" s="874"/>
      <c r="W185" s="874"/>
      <c r="X185" s="874"/>
      <c r="Y185" s="874"/>
      <c r="Z185" s="874"/>
      <c r="AA185" s="874"/>
      <c r="AD185" s="526"/>
      <c r="AE185" s="526"/>
      <c r="AF185" s="526"/>
      <c r="AG185" s="526"/>
      <c r="AH185" s="526"/>
      <c r="AI185" s="526"/>
      <c r="AJ185" s="526"/>
      <c r="AK185" s="526"/>
      <c r="AL185" s="526"/>
      <c r="AM185" s="526"/>
      <c r="AN185" s="526"/>
      <c r="AO185" s="526"/>
      <c r="AP185" s="526"/>
      <c r="AQ185" s="526"/>
      <c r="AR185" s="526"/>
      <c r="AS185" s="526"/>
      <c r="AT185" s="526"/>
      <c r="AU185" s="526"/>
      <c r="AV185" s="526"/>
      <c r="AW185" s="526"/>
      <c r="AX185" s="526"/>
      <c r="AY185" s="526"/>
      <c r="AZ185" s="526"/>
      <c r="BA185" s="526"/>
      <c r="BB185" s="526"/>
      <c r="BC185" s="526"/>
      <c r="BD185" s="526"/>
      <c r="BE185" s="526"/>
      <c r="BF185" s="526"/>
      <c r="BG185" s="526"/>
    </row>
    <row r="186" spans="1:59" s="830" customFormat="1" ht="17.25" customHeight="1" x14ac:dyDescent="0.25">
      <c r="A186" s="865"/>
      <c r="B186" s="865"/>
      <c r="C186" s="908"/>
      <c r="G186" s="865"/>
      <c r="H186" s="874"/>
      <c r="I186" s="869"/>
      <c r="J186" s="869"/>
      <c r="K186" s="869"/>
      <c r="L186" s="869"/>
      <c r="M186" s="874"/>
      <c r="O186" s="874"/>
      <c r="P186" s="874"/>
      <c r="Q186" s="874"/>
      <c r="R186" s="874"/>
      <c r="S186" s="874"/>
      <c r="T186" s="874"/>
      <c r="W186" s="874"/>
      <c r="X186" s="874"/>
      <c r="Y186" s="874"/>
      <c r="Z186" s="874"/>
      <c r="AA186" s="874"/>
      <c r="AD186" s="526"/>
      <c r="AE186" s="526"/>
      <c r="AF186" s="526"/>
      <c r="AG186" s="526"/>
      <c r="AH186" s="526"/>
      <c r="AI186" s="526"/>
      <c r="AJ186" s="526"/>
      <c r="AK186" s="526"/>
      <c r="AL186" s="526"/>
      <c r="AM186" s="526"/>
      <c r="AN186" s="526"/>
      <c r="AO186" s="526"/>
      <c r="AP186" s="526"/>
      <c r="AQ186" s="526"/>
      <c r="AR186" s="526"/>
      <c r="AS186" s="526"/>
      <c r="AT186" s="526"/>
      <c r="AU186" s="526"/>
      <c r="AV186" s="526"/>
      <c r="AW186" s="526"/>
      <c r="AX186" s="526"/>
      <c r="AY186" s="526"/>
      <c r="AZ186" s="526"/>
      <c r="BA186" s="526"/>
      <c r="BB186" s="526"/>
      <c r="BC186" s="526"/>
      <c r="BD186" s="526"/>
      <c r="BE186" s="526"/>
      <c r="BF186" s="526"/>
      <c r="BG186" s="526"/>
    </row>
    <row r="187" spans="1:59" s="830" customFormat="1" ht="17.25" customHeight="1" x14ac:dyDescent="0.25">
      <c r="A187" s="865"/>
      <c r="B187" s="865"/>
      <c r="C187" s="908"/>
      <c r="G187" s="865"/>
      <c r="H187" s="874"/>
      <c r="I187" s="869"/>
      <c r="J187" s="869"/>
      <c r="K187" s="869"/>
      <c r="L187" s="869"/>
      <c r="M187" s="874"/>
      <c r="O187" s="874"/>
      <c r="P187" s="874"/>
      <c r="Q187" s="874"/>
      <c r="R187" s="874"/>
      <c r="S187" s="874"/>
      <c r="T187" s="874"/>
      <c r="W187" s="874"/>
      <c r="X187" s="874"/>
      <c r="Y187" s="874"/>
      <c r="Z187" s="874"/>
      <c r="AA187" s="874"/>
      <c r="AD187" s="526"/>
      <c r="AE187" s="526"/>
      <c r="AF187" s="526"/>
      <c r="AG187" s="526"/>
      <c r="AH187" s="526"/>
      <c r="AI187" s="526"/>
      <c r="AJ187" s="526"/>
      <c r="AK187" s="526"/>
      <c r="AL187" s="526"/>
      <c r="AM187" s="526"/>
      <c r="AN187" s="526"/>
      <c r="AO187" s="526"/>
      <c r="AP187" s="526"/>
      <c r="AQ187" s="526"/>
      <c r="AR187" s="526"/>
      <c r="AS187" s="526"/>
      <c r="AT187" s="526"/>
      <c r="AU187" s="526"/>
      <c r="AV187" s="526"/>
      <c r="AW187" s="526"/>
      <c r="AX187" s="526"/>
      <c r="AY187" s="526"/>
      <c r="AZ187" s="526"/>
      <c r="BA187" s="526"/>
      <c r="BB187" s="526"/>
      <c r="BC187" s="526"/>
      <c r="BD187" s="526"/>
      <c r="BE187" s="526"/>
      <c r="BF187" s="526"/>
      <c r="BG187" s="526"/>
    </row>
    <row r="188" spans="1:59" s="830" customFormat="1" ht="17.25" customHeight="1" x14ac:dyDescent="0.25">
      <c r="A188" s="865"/>
      <c r="B188" s="865"/>
      <c r="C188" s="908"/>
      <c r="G188" s="865"/>
      <c r="H188" s="874"/>
      <c r="I188" s="869"/>
      <c r="J188" s="869"/>
      <c r="K188" s="869"/>
      <c r="L188" s="869"/>
      <c r="M188" s="874"/>
      <c r="O188" s="874"/>
      <c r="P188" s="874"/>
      <c r="Q188" s="874"/>
      <c r="R188" s="874"/>
      <c r="S188" s="874"/>
      <c r="T188" s="874"/>
      <c r="W188" s="874"/>
      <c r="X188" s="874"/>
      <c r="Y188" s="874"/>
      <c r="Z188" s="874"/>
      <c r="AA188" s="874"/>
      <c r="AD188" s="526"/>
      <c r="AE188" s="526"/>
      <c r="AF188" s="526"/>
      <c r="AG188" s="526"/>
      <c r="AH188" s="526"/>
      <c r="AI188" s="526"/>
      <c r="AJ188" s="526"/>
      <c r="AK188" s="526"/>
      <c r="AL188" s="526"/>
      <c r="AM188" s="526"/>
      <c r="AN188" s="526"/>
      <c r="AO188" s="526"/>
      <c r="AP188" s="526"/>
      <c r="AQ188" s="526"/>
      <c r="AR188" s="526"/>
      <c r="AS188" s="526"/>
      <c r="AT188" s="526"/>
      <c r="AU188" s="526"/>
      <c r="AV188" s="526"/>
      <c r="AW188" s="526"/>
      <c r="AX188" s="526"/>
      <c r="AY188" s="526"/>
      <c r="AZ188" s="526"/>
      <c r="BA188" s="526"/>
      <c r="BB188" s="526"/>
      <c r="BC188" s="526"/>
      <c r="BD188" s="526"/>
      <c r="BE188" s="526"/>
      <c r="BF188" s="526"/>
      <c r="BG188" s="526"/>
    </row>
    <row r="189" spans="1:59" s="830" customFormat="1" ht="17.25" customHeight="1" x14ac:dyDescent="0.25">
      <c r="A189" s="865"/>
      <c r="B189" s="865"/>
      <c r="C189" s="908"/>
      <c r="G189" s="865"/>
      <c r="H189" s="874"/>
      <c r="I189" s="869"/>
      <c r="J189" s="869"/>
      <c r="K189" s="869"/>
      <c r="L189" s="869"/>
      <c r="M189" s="874"/>
      <c r="O189" s="874"/>
      <c r="P189" s="874"/>
      <c r="Q189" s="874"/>
      <c r="R189" s="874"/>
      <c r="S189" s="874"/>
      <c r="T189" s="874"/>
      <c r="W189" s="874"/>
      <c r="X189" s="874"/>
      <c r="Y189" s="874"/>
      <c r="Z189" s="874"/>
      <c r="AA189" s="874"/>
      <c r="AD189" s="526"/>
      <c r="AE189" s="526"/>
      <c r="AF189" s="526"/>
      <c r="AG189" s="526"/>
      <c r="AH189" s="526"/>
      <c r="AI189" s="526"/>
      <c r="AJ189" s="526"/>
      <c r="AK189" s="526"/>
      <c r="AL189" s="526"/>
      <c r="AM189" s="526"/>
      <c r="AN189" s="526"/>
      <c r="AO189" s="526"/>
      <c r="AP189" s="526"/>
      <c r="AQ189" s="526"/>
      <c r="AR189" s="526"/>
      <c r="AS189" s="526"/>
      <c r="AT189" s="526"/>
      <c r="AU189" s="526"/>
      <c r="AV189" s="526"/>
      <c r="AW189" s="526"/>
      <c r="AX189" s="526"/>
      <c r="AY189" s="526"/>
      <c r="AZ189" s="526"/>
      <c r="BA189" s="526"/>
      <c r="BB189" s="526"/>
      <c r="BC189" s="526"/>
      <c r="BD189" s="526"/>
      <c r="BE189" s="526"/>
      <c r="BF189" s="526"/>
      <c r="BG189" s="526"/>
    </row>
    <row r="190" spans="1:59" s="830" customFormat="1" ht="17.25" customHeight="1" x14ac:dyDescent="0.25">
      <c r="A190" s="865"/>
      <c r="B190" s="865"/>
      <c r="C190" s="908"/>
      <c r="G190" s="865"/>
      <c r="H190" s="874"/>
      <c r="I190" s="869"/>
      <c r="J190" s="869"/>
      <c r="K190" s="869"/>
      <c r="L190" s="869"/>
      <c r="M190" s="874"/>
      <c r="O190" s="874"/>
      <c r="P190" s="874"/>
      <c r="Q190" s="874"/>
      <c r="R190" s="874"/>
      <c r="S190" s="874"/>
      <c r="T190" s="874"/>
      <c r="W190" s="874"/>
      <c r="X190" s="874"/>
      <c r="Y190" s="874"/>
      <c r="Z190" s="874"/>
      <c r="AA190" s="874"/>
      <c r="AD190" s="526"/>
      <c r="AE190" s="526"/>
      <c r="AF190" s="526"/>
      <c r="AG190" s="526"/>
      <c r="AH190" s="526"/>
      <c r="AI190" s="526"/>
      <c r="AJ190" s="526"/>
      <c r="AK190" s="526"/>
      <c r="AL190" s="526"/>
      <c r="AM190" s="526"/>
      <c r="AN190" s="526"/>
      <c r="AO190" s="526"/>
      <c r="AP190" s="526"/>
      <c r="AQ190" s="526"/>
      <c r="AR190" s="526"/>
      <c r="AS190" s="526"/>
      <c r="AT190" s="526"/>
      <c r="AU190" s="526"/>
      <c r="AV190" s="526"/>
      <c r="AW190" s="526"/>
      <c r="AX190" s="526"/>
      <c r="AY190" s="526"/>
      <c r="AZ190" s="526"/>
      <c r="BA190" s="526"/>
      <c r="BB190" s="526"/>
      <c r="BC190" s="526"/>
      <c r="BD190" s="526"/>
      <c r="BE190" s="526"/>
      <c r="BF190" s="526"/>
      <c r="BG190" s="526"/>
    </row>
    <row r="191" spans="1:59" s="830" customFormat="1" ht="17.25" customHeight="1" x14ac:dyDescent="0.25">
      <c r="A191" s="865"/>
      <c r="B191" s="865"/>
      <c r="C191" s="908"/>
      <c r="G191" s="865"/>
      <c r="H191" s="874"/>
      <c r="I191" s="869"/>
      <c r="J191" s="869"/>
      <c r="K191" s="869"/>
      <c r="L191" s="869"/>
      <c r="M191" s="874"/>
      <c r="O191" s="874"/>
      <c r="P191" s="874"/>
      <c r="Q191" s="874"/>
      <c r="R191" s="874"/>
      <c r="S191" s="874"/>
      <c r="T191" s="874"/>
      <c r="W191" s="874"/>
      <c r="X191" s="874"/>
      <c r="Y191" s="874"/>
      <c r="Z191" s="874"/>
      <c r="AA191" s="874"/>
      <c r="AD191" s="526"/>
      <c r="AE191" s="526"/>
      <c r="AF191" s="526"/>
      <c r="AG191" s="526"/>
      <c r="AH191" s="526"/>
      <c r="AI191" s="526"/>
      <c r="AJ191" s="526"/>
      <c r="AK191" s="526"/>
      <c r="AL191" s="526"/>
      <c r="AM191" s="526"/>
      <c r="AN191" s="526"/>
      <c r="AO191" s="526"/>
      <c r="AP191" s="526"/>
      <c r="AQ191" s="526"/>
      <c r="AR191" s="526"/>
      <c r="AS191" s="526"/>
      <c r="AT191" s="526"/>
      <c r="AU191" s="526"/>
      <c r="AV191" s="526"/>
      <c r="AW191" s="526"/>
      <c r="AX191" s="526"/>
      <c r="AY191" s="526"/>
      <c r="AZ191" s="526"/>
      <c r="BA191" s="526"/>
      <c r="BB191" s="526"/>
      <c r="BC191" s="526"/>
      <c r="BD191" s="526"/>
      <c r="BE191" s="526"/>
      <c r="BF191" s="526"/>
      <c r="BG191" s="526"/>
    </row>
    <row r="192" spans="1:59" s="830" customFormat="1" ht="17.25" customHeight="1" x14ac:dyDescent="0.25">
      <c r="A192" s="865"/>
      <c r="B192" s="865"/>
      <c r="C192" s="908"/>
      <c r="G192" s="865"/>
      <c r="H192" s="874"/>
      <c r="I192" s="869"/>
      <c r="J192" s="869"/>
      <c r="K192" s="869"/>
      <c r="L192" s="869"/>
      <c r="M192" s="874"/>
      <c r="O192" s="874"/>
      <c r="P192" s="874"/>
      <c r="Q192" s="874"/>
      <c r="R192" s="874"/>
      <c r="S192" s="874"/>
      <c r="T192" s="874"/>
      <c r="W192" s="874"/>
      <c r="X192" s="874"/>
      <c r="Y192" s="874"/>
      <c r="Z192" s="874"/>
      <c r="AA192" s="874"/>
      <c r="AD192" s="526"/>
      <c r="AE192" s="526"/>
      <c r="AF192" s="526"/>
      <c r="AG192" s="526"/>
      <c r="AH192" s="526"/>
      <c r="AI192" s="526"/>
      <c r="AJ192" s="526"/>
      <c r="AK192" s="526"/>
      <c r="AL192" s="526"/>
      <c r="AM192" s="526"/>
      <c r="AN192" s="526"/>
      <c r="AO192" s="526"/>
      <c r="AP192" s="526"/>
      <c r="AQ192" s="526"/>
      <c r="AR192" s="526"/>
      <c r="AS192" s="526"/>
      <c r="AT192" s="526"/>
      <c r="AU192" s="526"/>
      <c r="AV192" s="526"/>
      <c r="AW192" s="526"/>
      <c r="AX192" s="526"/>
      <c r="AY192" s="526"/>
      <c r="AZ192" s="526"/>
      <c r="BA192" s="526"/>
      <c r="BB192" s="526"/>
      <c r="BC192" s="526"/>
      <c r="BD192" s="526"/>
      <c r="BE192" s="526"/>
      <c r="BF192" s="526"/>
      <c r="BG192" s="526"/>
    </row>
    <row r="193" spans="1:59" s="830" customFormat="1" ht="17.25" customHeight="1" x14ac:dyDescent="0.25">
      <c r="A193" s="865"/>
      <c r="B193" s="865"/>
      <c r="C193" s="908"/>
      <c r="G193" s="865"/>
      <c r="H193" s="874"/>
      <c r="I193" s="869"/>
      <c r="J193" s="869"/>
      <c r="K193" s="869"/>
      <c r="L193" s="869"/>
      <c r="M193" s="874"/>
      <c r="O193" s="874"/>
      <c r="P193" s="874"/>
      <c r="Q193" s="874"/>
      <c r="R193" s="874"/>
      <c r="S193" s="874"/>
      <c r="T193" s="874"/>
      <c r="W193" s="874"/>
      <c r="X193" s="874"/>
      <c r="Y193" s="874"/>
      <c r="Z193" s="874"/>
      <c r="AA193" s="874"/>
      <c r="AD193" s="526"/>
      <c r="AE193" s="526"/>
      <c r="AF193" s="526"/>
      <c r="AG193" s="526"/>
      <c r="AH193" s="526"/>
      <c r="AI193" s="526"/>
      <c r="AJ193" s="526"/>
      <c r="AK193" s="526"/>
      <c r="AL193" s="526"/>
      <c r="AM193" s="526"/>
      <c r="AN193" s="526"/>
      <c r="AO193" s="526"/>
      <c r="AP193" s="526"/>
      <c r="AQ193" s="526"/>
      <c r="AR193" s="526"/>
      <c r="AS193" s="526"/>
      <c r="AT193" s="526"/>
      <c r="AU193" s="526"/>
      <c r="AV193" s="526"/>
      <c r="AW193" s="526"/>
      <c r="AX193" s="526"/>
      <c r="AY193" s="526"/>
      <c r="AZ193" s="526"/>
      <c r="BA193" s="526"/>
      <c r="BB193" s="526"/>
      <c r="BC193" s="526"/>
      <c r="BD193" s="526"/>
      <c r="BE193" s="526"/>
      <c r="BF193" s="526"/>
      <c r="BG193" s="526"/>
    </row>
    <row r="194" spans="1:59" s="830" customFormat="1" ht="17.25" customHeight="1" x14ac:dyDescent="0.25">
      <c r="A194" s="865"/>
      <c r="B194" s="865"/>
      <c r="C194" s="908"/>
      <c r="G194" s="865"/>
      <c r="H194" s="874"/>
      <c r="I194" s="869"/>
      <c r="J194" s="869"/>
      <c r="K194" s="869"/>
      <c r="L194" s="869"/>
      <c r="M194" s="874"/>
      <c r="O194" s="874"/>
      <c r="P194" s="874"/>
      <c r="Q194" s="874"/>
      <c r="R194" s="874"/>
      <c r="S194" s="874"/>
      <c r="T194" s="874"/>
      <c r="W194" s="874"/>
      <c r="X194" s="874"/>
      <c r="Y194" s="874"/>
      <c r="Z194" s="874"/>
      <c r="AA194" s="874"/>
      <c r="AD194" s="526"/>
      <c r="AE194" s="526"/>
      <c r="AF194" s="526"/>
      <c r="AG194" s="526"/>
      <c r="AH194" s="526"/>
      <c r="AI194" s="526"/>
      <c r="AJ194" s="526"/>
      <c r="AK194" s="526"/>
      <c r="AL194" s="526"/>
      <c r="AM194" s="526"/>
      <c r="AN194" s="526"/>
      <c r="AO194" s="526"/>
      <c r="AP194" s="526"/>
      <c r="AQ194" s="526"/>
      <c r="AR194" s="526"/>
      <c r="AS194" s="526"/>
      <c r="AT194" s="526"/>
      <c r="AU194" s="526"/>
      <c r="AV194" s="526"/>
      <c r="AW194" s="526"/>
      <c r="AX194" s="526"/>
      <c r="AY194" s="526"/>
      <c r="AZ194" s="526"/>
      <c r="BA194" s="526"/>
      <c r="BB194" s="526"/>
      <c r="BC194" s="526"/>
      <c r="BD194" s="526"/>
      <c r="BE194" s="526"/>
      <c r="BF194" s="526"/>
      <c r="BG194" s="526"/>
    </row>
    <row r="195" spans="1:59" s="830" customFormat="1" ht="17.25" customHeight="1" x14ac:dyDescent="0.25">
      <c r="A195" s="865"/>
      <c r="B195" s="865"/>
      <c r="C195" s="908"/>
      <c r="G195" s="865"/>
      <c r="H195" s="874"/>
      <c r="I195" s="869"/>
      <c r="J195" s="869"/>
      <c r="K195" s="869"/>
      <c r="L195" s="869"/>
      <c r="M195" s="874"/>
      <c r="O195" s="874"/>
      <c r="P195" s="874"/>
      <c r="Q195" s="874"/>
      <c r="R195" s="874"/>
      <c r="S195" s="874"/>
      <c r="T195" s="874"/>
      <c r="W195" s="874"/>
      <c r="X195" s="874"/>
      <c r="Y195" s="874"/>
      <c r="Z195" s="874"/>
      <c r="AA195" s="874"/>
      <c r="AD195" s="526"/>
      <c r="AE195" s="526"/>
      <c r="AF195" s="526"/>
      <c r="AG195" s="526"/>
      <c r="AH195" s="526"/>
      <c r="AI195" s="526"/>
      <c r="AJ195" s="526"/>
      <c r="AK195" s="526"/>
      <c r="AL195" s="526"/>
      <c r="AM195" s="526"/>
      <c r="AN195" s="526"/>
      <c r="AO195" s="526"/>
      <c r="AP195" s="526"/>
      <c r="AQ195" s="526"/>
      <c r="AR195" s="526"/>
      <c r="AS195" s="526"/>
      <c r="AT195" s="526"/>
      <c r="AU195" s="526"/>
      <c r="AV195" s="526"/>
      <c r="AW195" s="526"/>
      <c r="AX195" s="526"/>
      <c r="AY195" s="526"/>
      <c r="AZ195" s="526"/>
      <c r="BA195" s="526"/>
      <c r="BB195" s="526"/>
      <c r="BC195" s="526"/>
      <c r="BD195" s="526"/>
      <c r="BE195" s="526"/>
      <c r="BF195" s="526"/>
      <c r="BG195" s="526"/>
    </row>
    <row r="196" spans="1:59" s="830" customFormat="1" ht="17.25" customHeight="1" x14ac:dyDescent="0.25">
      <c r="A196" s="865"/>
      <c r="B196" s="865"/>
      <c r="C196" s="908"/>
      <c r="G196" s="865"/>
      <c r="H196" s="874"/>
      <c r="I196" s="869"/>
      <c r="J196" s="869"/>
      <c r="K196" s="869"/>
      <c r="L196" s="869"/>
      <c r="M196" s="874"/>
      <c r="O196" s="874"/>
      <c r="P196" s="874"/>
      <c r="Q196" s="874"/>
      <c r="R196" s="874"/>
      <c r="S196" s="874"/>
      <c r="T196" s="874"/>
      <c r="W196" s="874"/>
      <c r="X196" s="874"/>
      <c r="Y196" s="874"/>
      <c r="Z196" s="874"/>
      <c r="AA196" s="874"/>
      <c r="AD196" s="526"/>
      <c r="AE196" s="526"/>
      <c r="AF196" s="526"/>
      <c r="AG196" s="526"/>
      <c r="AH196" s="526"/>
      <c r="AI196" s="526"/>
      <c r="AJ196" s="526"/>
      <c r="AK196" s="526"/>
      <c r="AL196" s="526"/>
      <c r="AM196" s="526"/>
      <c r="AN196" s="526"/>
      <c r="AO196" s="526"/>
      <c r="AP196" s="526"/>
      <c r="AQ196" s="526"/>
      <c r="AR196" s="526"/>
      <c r="AS196" s="526"/>
      <c r="AT196" s="526"/>
      <c r="AU196" s="526"/>
      <c r="AV196" s="526"/>
      <c r="AW196" s="526"/>
      <c r="AX196" s="526"/>
      <c r="AY196" s="526"/>
      <c r="AZ196" s="526"/>
      <c r="BA196" s="526"/>
      <c r="BB196" s="526"/>
      <c r="BC196" s="526"/>
      <c r="BD196" s="526"/>
      <c r="BE196" s="526"/>
      <c r="BF196" s="526"/>
      <c r="BG196" s="526"/>
    </row>
    <row r="197" spans="1:59" s="830" customFormat="1" ht="17.25" customHeight="1" x14ac:dyDescent="0.25">
      <c r="A197" s="865"/>
      <c r="B197" s="865"/>
      <c r="C197" s="908"/>
      <c r="G197" s="865"/>
      <c r="H197" s="874"/>
      <c r="I197" s="869"/>
      <c r="J197" s="869"/>
      <c r="K197" s="869"/>
      <c r="L197" s="869"/>
      <c r="M197" s="874"/>
      <c r="O197" s="874"/>
      <c r="P197" s="874"/>
      <c r="Q197" s="874"/>
      <c r="R197" s="874"/>
      <c r="S197" s="874"/>
      <c r="T197" s="874"/>
      <c r="W197" s="874"/>
      <c r="X197" s="874"/>
      <c r="Y197" s="874"/>
      <c r="Z197" s="874"/>
      <c r="AA197" s="874"/>
      <c r="AD197" s="526"/>
      <c r="AE197" s="526"/>
      <c r="AF197" s="526"/>
      <c r="AG197" s="526"/>
      <c r="AH197" s="526"/>
      <c r="AI197" s="526"/>
      <c r="AJ197" s="526"/>
      <c r="AK197" s="526"/>
      <c r="AL197" s="526"/>
      <c r="AM197" s="526"/>
      <c r="AN197" s="526"/>
      <c r="AO197" s="526"/>
      <c r="AP197" s="526"/>
      <c r="AQ197" s="526"/>
      <c r="AR197" s="526"/>
      <c r="AS197" s="526"/>
      <c r="AT197" s="526"/>
      <c r="AU197" s="526"/>
      <c r="AV197" s="526"/>
      <c r="AW197" s="526"/>
      <c r="AX197" s="526"/>
      <c r="AY197" s="526"/>
      <c r="AZ197" s="526"/>
      <c r="BA197" s="526"/>
      <c r="BB197" s="526"/>
      <c r="BC197" s="526"/>
      <c r="BD197" s="526"/>
      <c r="BE197" s="526"/>
      <c r="BF197" s="526"/>
      <c r="BG197" s="526"/>
    </row>
    <row r="198" spans="1:59" s="830" customFormat="1" ht="17.25" customHeight="1" x14ac:dyDescent="0.25">
      <c r="A198" s="865"/>
      <c r="B198" s="865"/>
      <c r="C198" s="908"/>
      <c r="G198" s="865"/>
      <c r="H198" s="874"/>
      <c r="I198" s="869"/>
      <c r="J198" s="869"/>
      <c r="K198" s="869"/>
      <c r="L198" s="869"/>
      <c r="M198" s="874"/>
      <c r="O198" s="874"/>
      <c r="P198" s="874"/>
      <c r="Q198" s="874"/>
      <c r="R198" s="874"/>
      <c r="S198" s="874"/>
      <c r="T198" s="874"/>
      <c r="W198" s="874"/>
      <c r="X198" s="874"/>
      <c r="Y198" s="874"/>
      <c r="Z198" s="874"/>
      <c r="AA198" s="874"/>
      <c r="AD198" s="526"/>
      <c r="AE198" s="526"/>
      <c r="AF198" s="526"/>
      <c r="AG198" s="526"/>
      <c r="AH198" s="526"/>
      <c r="AI198" s="526"/>
      <c r="AJ198" s="526"/>
      <c r="AK198" s="526"/>
      <c r="AL198" s="526"/>
      <c r="AM198" s="526"/>
      <c r="AN198" s="526"/>
      <c r="AO198" s="526"/>
      <c r="AP198" s="526"/>
      <c r="AQ198" s="526"/>
      <c r="AR198" s="526"/>
      <c r="AS198" s="526"/>
      <c r="AT198" s="526"/>
      <c r="AU198" s="526"/>
      <c r="AV198" s="526"/>
      <c r="AW198" s="526"/>
      <c r="AX198" s="526"/>
      <c r="AY198" s="526"/>
      <c r="AZ198" s="526"/>
      <c r="BA198" s="526"/>
      <c r="BB198" s="526"/>
      <c r="BC198" s="526"/>
      <c r="BD198" s="526"/>
      <c r="BE198" s="526"/>
      <c r="BF198" s="526"/>
      <c r="BG198" s="526"/>
    </row>
    <row r="199" spans="1:59" s="830" customFormat="1" ht="17.25" customHeight="1" x14ac:dyDescent="0.25">
      <c r="A199" s="865"/>
      <c r="B199" s="865"/>
      <c r="C199" s="908"/>
      <c r="G199" s="865"/>
      <c r="H199" s="874"/>
      <c r="I199" s="869"/>
      <c r="J199" s="869"/>
      <c r="K199" s="869"/>
      <c r="L199" s="869"/>
      <c r="M199" s="874"/>
      <c r="O199" s="874"/>
      <c r="P199" s="874"/>
      <c r="Q199" s="874"/>
      <c r="R199" s="874"/>
      <c r="S199" s="874"/>
      <c r="T199" s="874"/>
      <c r="W199" s="874"/>
      <c r="X199" s="874"/>
      <c r="Y199" s="874"/>
      <c r="Z199" s="874"/>
      <c r="AA199" s="874"/>
      <c r="AD199" s="526"/>
      <c r="AE199" s="526"/>
      <c r="AF199" s="526"/>
      <c r="AG199" s="526"/>
      <c r="AH199" s="526"/>
      <c r="AI199" s="526"/>
      <c r="AJ199" s="526"/>
      <c r="AK199" s="526"/>
      <c r="AL199" s="526"/>
      <c r="AM199" s="526"/>
      <c r="AN199" s="526"/>
      <c r="AO199" s="526"/>
      <c r="AP199" s="526"/>
      <c r="AQ199" s="526"/>
      <c r="AR199" s="526"/>
      <c r="AS199" s="526"/>
      <c r="AT199" s="526"/>
      <c r="AU199" s="526"/>
      <c r="AV199" s="526"/>
      <c r="AW199" s="526"/>
      <c r="AX199" s="526"/>
      <c r="AY199" s="526"/>
      <c r="AZ199" s="526"/>
      <c r="BA199" s="526"/>
      <c r="BB199" s="526"/>
      <c r="BC199" s="526"/>
      <c r="BD199" s="526"/>
      <c r="BE199" s="526"/>
      <c r="BF199" s="526"/>
      <c r="BG199" s="526"/>
    </row>
    <row r="200" spans="1:59" s="830" customFormat="1" ht="17.25" customHeight="1" x14ac:dyDescent="0.25">
      <c r="A200" s="865"/>
      <c r="B200" s="865"/>
      <c r="C200" s="908"/>
      <c r="G200" s="865"/>
      <c r="H200" s="874"/>
      <c r="I200" s="869"/>
      <c r="J200" s="869"/>
      <c r="K200" s="869"/>
      <c r="L200" s="869"/>
      <c r="M200" s="874"/>
      <c r="O200" s="874"/>
      <c r="P200" s="874"/>
      <c r="Q200" s="874"/>
      <c r="R200" s="874"/>
      <c r="S200" s="874"/>
      <c r="T200" s="874"/>
      <c r="W200" s="874"/>
      <c r="X200" s="874"/>
      <c r="Y200" s="874"/>
      <c r="Z200" s="874"/>
      <c r="AA200" s="874"/>
      <c r="AD200" s="526"/>
      <c r="AE200" s="526"/>
      <c r="AF200" s="526"/>
      <c r="AG200" s="526"/>
      <c r="AH200" s="526"/>
      <c r="AI200" s="526"/>
      <c r="AJ200" s="526"/>
      <c r="AK200" s="526"/>
      <c r="AL200" s="526"/>
      <c r="AM200" s="526"/>
      <c r="AN200" s="526"/>
      <c r="AO200" s="526"/>
      <c r="AP200" s="526"/>
      <c r="AQ200" s="526"/>
      <c r="AR200" s="526"/>
      <c r="AS200" s="526"/>
      <c r="AT200" s="526"/>
      <c r="AU200" s="526"/>
      <c r="AV200" s="526"/>
      <c r="AW200" s="526"/>
      <c r="AX200" s="526"/>
      <c r="AY200" s="526"/>
      <c r="AZ200" s="526"/>
      <c r="BA200" s="526"/>
      <c r="BB200" s="526"/>
      <c r="BC200" s="526"/>
      <c r="BD200" s="526"/>
      <c r="BE200" s="526"/>
      <c r="BF200" s="526"/>
      <c r="BG200" s="526"/>
    </row>
    <row r="201" spans="1:59" s="830" customFormat="1" ht="17.25" customHeight="1" x14ac:dyDescent="0.25">
      <c r="A201" s="865"/>
      <c r="B201" s="865"/>
      <c r="C201" s="908"/>
      <c r="G201" s="865"/>
      <c r="H201" s="874"/>
      <c r="I201" s="869"/>
      <c r="J201" s="869"/>
      <c r="K201" s="869"/>
      <c r="L201" s="869"/>
      <c r="M201" s="874"/>
      <c r="O201" s="874"/>
      <c r="P201" s="874"/>
      <c r="Q201" s="874"/>
      <c r="R201" s="874"/>
      <c r="S201" s="874"/>
      <c r="T201" s="874"/>
      <c r="W201" s="874"/>
      <c r="X201" s="874"/>
      <c r="Y201" s="874"/>
      <c r="Z201" s="874"/>
      <c r="AA201" s="874"/>
      <c r="AD201" s="526"/>
      <c r="AE201" s="526"/>
      <c r="AF201" s="526"/>
      <c r="AG201" s="526"/>
      <c r="AH201" s="526"/>
      <c r="AI201" s="526"/>
      <c r="AJ201" s="526"/>
      <c r="AK201" s="526"/>
      <c r="AL201" s="526"/>
      <c r="AM201" s="526"/>
      <c r="AN201" s="526"/>
      <c r="AO201" s="526"/>
      <c r="AP201" s="526"/>
      <c r="AQ201" s="526"/>
      <c r="AR201" s="526"/>
      <c r="AS201" s="526"/>
      <c r="AT201" s="526"/>
      <c r="AU201" s="526"/>
      <c r="AV201" s="526"/>
      <c r="AW201" s="526"/>
      <c r="AX201" s="526"/>
      <c r="AY201" s="526"/>
      <c r="AZ201" s="526"/>
      <c r="BA201" s="526"/>
      <c r="BB201" s="526"/>
      <c r="BC201" s="526"/>
      <c r="BD201" s="526"/>
      <c r="BE201" s="526"/>
      <c r="BF201" s="526"/>
      <c r="BG201" s="526"/>
    </row>
    <row r="202" spans="1:59" s="830" customFormat="1" ht="17.25" customHeight="1" x14ac:dyDescent="0.25">
      <c r="A202" s="865"/>
      <c r="B202" s="865"/>
      <c r="C202" s="908"/>
      <c r="G202" s="865"/>
      <c r="H202" s="874"/>
      <c r="I202" s="869"/>
      <c r="J202" s="869"/>
      <c r="K202" s="869"/>
      <c r="L202" s="869"/>
      <c r="M202" s="874"/>
      <c r="O202" s="874"/>
      <c r="P202" s="874"/>
      <c r="Q202" s="874"/>
      <c r="R202" s="874"/>
      <c r="S202" s="874"/>
      <c r="T202" s="874"/>
      <c r="W202" s="874"/>
      <c r="X202" s="874"/>
      <c r="Y202" s="874"/>
      <c r="Z202" s="874"/>
      <c r="AA202" s="874"/>
      <c r="AD202" s="526"/>
      <c r="AE202" s="526"/>
      <c r="AF202" s="526"/>
      <c r="AG202" s="526"/>
      <c r="AH202" s="526"/>
      <c r="AI202" s="526"/>
      <c r="AJ202" s="526"/>
      <c r="AK202" s="526"/>
      <c r="AL202" s="526"/>
      <c r="AM202" s="526"/>
      <c r="AN202" s="526"/>
      <c r="AO202" s="526"/>
      <c r="AP202" s="526"/>
      <c r="AQ202" s="526"/>
      <c r="AR202" s="526"/>
      <c r="AS202" s="526"/>
      <c r="AT202" s="526"/>
      <c r="AU202" s="526"/>
      <c r="AV202" s="526"/>
      <c r="AW202" s="526"/>
      <c r="AX202" s="526"/>
      <c r="AY202" s="526"/>
      <c r="AZ202" s="526"/>
      <c r="BA202" s="526"/>
      <c r="BB202" s="526"/>
      <c r="BC202" s="526"/>
      <c r="BD202" s="526"/>
      <c r="BE202" s="526"/>
      <c r="BF202" s="526"/>
      <c r="BG202" s="526"/>
    </row>
    <row r="203" spans="1:59" s="830" customFormat="1" ht="17.25" customHeight="1" x14ac:dyDescent="0.25">
      <c r="A203" s="865"/>
      <c r="B203" s="865"/>
      <c r="C203" s="908"/>
      <c r="G203" s="865"/>
      <c r="H203" s="874"/>
      <c r="I203" s="869"/>
      <c r="J203" s="869"/>
      <c r="K203" s="869"/>
      <c r="L203" s="869"/>
      <c r="M203" s="874"/>
      <c r="O203" s="874"/>
      <c r="P203" s="874"/>
      <c r="Q203" s="874"/>
      <c r="R203" s="874"/>
      <c r="S203" s="874"/>
      <c r="T203" s="874"/>
      <c r="W203" s="874"/>
      <c r="X203" s="874"/>
      <c r="Y203" s="874"/>
      <c r="Z203" s="874"/>
      <c r="AA203" s="874"/>
      <c r="AD203" s="526"/>
      <c r="AE203" s="526"/>
      <c r="AF203" s="526"/>
      <c r="AG203" s="526"/>
      <c r="AH203" s="526"/>
      <c r="AI203" s="526"/>
      <c r="AJ203" s="526"/>
      <c r="AK203" s="526"/>
      <c r="AL203" s="526"/>
      <c r="AM203" s="526"/>
      <c r="AN203" s="526"/>
      <c r="AO203" s="526"/>
      <c r="AP203" s="526"/>
      <c r="AQ203" s="526"/>
      <c r="AR203" s="526"/>
      <c r="AS203" s="526"/>
      <c r="AT203" s="526"/>
      <c r="AU203" s="526"/>
      <c r="AV203" s="526"/>
      <c r="AW203" s="526"/>
      <c r="AX203" s="526"/>
      <c r="AY203" s="526"/>
      <c r="AZ203" s="526"/>
      <c r="BA203" s="526"/>
      <c r="BB203" s="526"/>
      <c r="BC203" s="526"/>
      <c r="BD203" s="526"/>
      <c r="BE203" s="526"/>
      <c r="BF203" s="526"/>
      <c r="BG203" s="526"/>
    </row>
    <row r="204" spans="1:59" s="830" customFormat="1" ht="17.25" customHeight="1" x14ac:dyDescent="0.25">
      <c r="A204" s="865"/>
      <c r="B204" s="865"/>
      <c r="C204" s="908"/>
      <c r="G204" s="865"/>
      <c r="H204" s="874"/>
      <c r="I204" s="869"/>
      <c r="J204" s="869"/>
      <c r="K204" s="869"/>
      <c r="L204" s="869"/>
      <c r="M204" s="874"/>
      <c r="O204" s="874"/>
      <c r="P204" s="874"/>
      <c r="Q204" s="874"/>
      <c r="R204" s="874"/>
      <c r="S204" s="874"/>
      <c r="T204" s="874"/>
      <c r="W204" s="874"/>
      <c r="X204" s="874"/>
      <c r="Y204" s="874"/>
      <c r="Z204" s="874"/>
      <c r="AA204" s="874"/>
      <c r="AD204" s="526"/>
      <c r="AE204" s="526"/>
      <c r="AF204" s="526"/>
      <c r="AG204" s="526"/>
      <c r="AH204" s="526"/>
      <c r="AI204" s="526"/>
      <c r="AJ204" s="526"/>
      <c r="AK204" s="526"/>
      <c r="AL204" s="526"/>
      <c r="AM204" s="526"/>
      <c r="AN204" s="526"/>
      <c r="AO204" s="526"/>
      <c r="AP204" s="526"/>
      <c r="AQ204" s="526"/>
      <c r="AR204" s="526"/>
      <c r="AS204" s="526"/>
      <c r="AT204" s="526"/>
      <c r="AU204" s="526"/>
      <c r="AV204" s="526"/>
      <c r="AW204" s="526"/>
      <c r="AX204" s="526"/>
      <c r="AY204" s="526"/>
      <c r="AZ204" s="526"/>
      <c r="BA204" s="526"/>
      <c r="BB204" s="526"/>
      <c r="BC204" s="526"/>
      <c r="BD204" s="526"/>
      <c r="BE204" s="526"/>
      <c r="BF204" s="526"/>
      <c r="BG204" s="526"/>
    </row>
    <row r="205" spans="1:59" s="830" customFormat="1" ht="17.25" customHeight="1" x14ac:dyDescent="0.25">
      <c r="A205" s="865"/>
      <c r="B205" s="865"/>
      <c r="C205" s="908"/>
      <c r="G205" s="865"/>
      <c r="H205" s="874"/>
      <c r="I205" s="869"/>
      <c r="J205" s="869"/>
      <c r="K205" s="869"/>
      <c r="L205" s="869"/>
      <c r="M205" s="874"/>
      <c r="O205" s="874"/>
      <c r="P205" s="874"/>
      <c r="Q205" s="874"/>
      <c r="R205" s="874"/>
      <c r="S205" s="874"/>
      <c r="T205" s="874"/>
      <c r="W205" s="874"/>
      <c r="X205" s="874"/>
      <c r="Y205" s="874"/>
      <c r="Z205" s="874"/>
      <c r="AA205" s="874"/>
      <c r="AD205" s="526"/>
      <c r="AE205" s="526"/>
      <c r="AF205" s="526"/>
      <c r="AG205" s="526"/>
      <c r="AH205" s="526"/>
      <c r="AI205" s="526"/>
      <c r="AJ205" s="526"/>
      <c r="AK205" s="526"/>
      <c r="AL205" s="526"/>
      <c r="AM205" s="526"/>
      <c r="AN205" s="526"/>
      <c r="AO205" s="526"/>
      <c r="AP205" s="526"/>
      <c r="AQ205" s="526"/>
      <c r="AR205" s="526"/>
      <c r="AS205" s="526"/>
      <c r="AT205" s="526"/>
      <c r="AU205" s="526"/>
      <c r="AV205" s="526"/>
      <c r="AW205" s="526"/>
      <c r="AX205" s="526"/>
      <c r="AY205" s="526"/>
      <c r="AZ205" s="526"/>
      <c r="BA205" s="526"/>
      <c r="BB205" s="526"/>
      <c r="BC205" s="526"/>
      <c r="BD205" s="526"/>
      <c r="BE205" s="526"/>
      <c r="BF205" s="526"/>
      <c r="BG205" s="526"/>
    </row>
    <row r="206" spans="1:59" s="830" customFormat="1" ht="17.25" customHeight="1" x14ac:dyDescent="0.25">
      <c r="A206" s="865"/>
      <c r="B206" s="865"/>
      <c r="C206" s="908"/>
      <c r="G206" s="865"/>
      <c r="H206" s="874"/>
      <c r="I206" s="869"/>
      <c r="J206" s="869"/>
      <c r="K206" s="869"/>
      <c r="L206" s="869"/>
      <c r="M206" s="874"/>
      <c r="O206" s="874"/>
      <c r="P206" s="874"/>
      <c r="Q206" s="874"/>
      <c r="R206" s="874"/>
      <c r="S206" s="874"/>
      <c r="T206" s="874"/>
      <c r="W206" s="874"/>
      <c r="X206" s="874"/>
      <c r="Y206" s="874"/>
      <c r="Z206" s="874"/>
      <c r="AA206" s="874"/>
      <c r="AD206" s="526"/>
      <c r="AE206" s="526"/>
      <c r="AF206" s="526"/>
      <c r="AG206" s="526"/>
      <c r="AH206" s="526"/>
      <c r="AI206" s="526"/>
      <c r="AJ206" s="526"/>
      <c r="AK206" s="526"/>
      <c r="AL206" s="526"/>
      <c r="AM206" s="526"/>
      <c r="AN206" s="526"/>
      <c r="AO206" s="526"/>
      <c r="AP206" s="526"/>
      <c r="AQ206" s="526"/>
      <c r="AR206" s="526"/>
      <c r="AS206" s="526"/>
      <c r="AT206" s="526"/>
      <c r="AU206" s="526"/>
      <c r="AV206" s="526"/>
      <c r="AW206" s="526"/>
      <c r="AX206" s="526"/>
      <c r="AY206" s="526"/>
      <c r="AZ206" s="526"/>
      <c r="BA206" s="526"/>
      <c r="BB206" s="526"/>
      <c r="BC206" s="526"/>
      <c r="BD206" s="526"/>
      <c r="BE206" s="526"/>
      <c r="BF206" s="526"/>
      <c r="BG206" s="526"/>
    </row>
    <row r="207" spans="1:59" s="830" customFormat="1" ht="17.25" customHeight="1" x14ac:dyDescent="0.25">
      <c r="A207" s="865"/>
      <c r="B207" s="865"/>
      <c r="C207" s="908"/>
      <c r="G207" s="865"/>
      <c r="H207" s="874"/>
      <c r="I207" s="869"/>
      <c r="J207" s="869"/>
      <c r="K207" s="869"/>
      <c r="L207" s="869"/>
      <c r="M207" s="874"/>
      <c r="O207" s="874"/>
      <c r="P207" s="874"/>
      <c r="Q207" s="874"/>
      <c r="R207" s="874"/>
      <c r="S207" s="874"/>
      <c r="T207" s="874"/>
      <c r="W207" s="874"/>
      <c r="X207" s="874"/>
      <c r="Y207" s="874"/>
      <c r="Z207" s="874"/>
      <c r="AA207" s="874"/>
      <c r="AD207" s="526"/>
      <c r="AE207" s="526"/>
      <c r="AF207" s="526"/>
      <c r="AG207" s="526"/>
      <c r="AH207" s="526"/>
      <c r="AI207" s="526"/>
      <c r="AJ207" s="526"/>
      <c r="AK207" s="526"/>
      <c r="AL207" s="526"/>
      <c r="AM207" s="526"/>
      <c r="AN207" s="526"/>
      <c r="AO207" s="526"/>
      <c r="AP207" s="526"/>
      <c r="AQ207" s="526"/>
      <c r="AR207" s="526"/>
      <c r="AS207" s="526"/>
      <c r="AT207" s="526"/>
      <c r="AU207" s="526"/>
      <c r="AV207" s="526"/>
      <c r="AW207" s="526"/>
      <c r="AX207" s="526"/>
      <c r="AY207" s="526"/>
      <c r="AZ207" s="526"/>
      <c r="BA207" s="526"/>
      <c r="BB207" s="526"/>
      <c r="BC207" s="526"/>
      <c r="BD207" s="526"/>
      <c r="BE207" s="526"/>
      <c r="BF207" s="526"/>
      <c r="BG207" s="526"/>
    </row>
    <row r="208" spans="1:59" s="830" customFormat="1" ht="17.25" customHeight="1" x14ac:dyDescent="0.25">
      <c r="A208" s="865"/>
      <c r="B208" s="865"/>
      <c r="C208" s="908"/>
      <c r="G208" s="865"/>
      <c r="H208" s="874"/>
      <c r="I208" s="869"/>
      <c r="J208" s="869"/>
      <c r="K208" s="869"/>
      <c r="L208" s="869"/>
      <c r="M208" s="874"/>
      <c r="O208" s="874"/>
      <c r="P208" s="874"/>
      <c r="Q208" s="874"/>
      <c r="R208" s="874"/>
      <c r="S208" s="874"/>
      <c r="T208" s="874"/>
      <c r="W208" s="874"/>
      <c r="X208" s="874"/>
      <c r="Y208" s="874"/>
      <c r="Z208" s="874"/>
      <c r="AA208" s="874"/>
      <c r="AD208" s="526"/>
      <c r="AE208" s="526"/>
      <c r="AF208" s="526"/>
      <c r="AG208" s="526"/>
      <c r="AH208" s="526"/>
      <c r="AI208" s="526"/>
      <c r="AJ208" s="526"/>
      <c r="AK208" s="526"/>
      <c r="AL208" s="526"/>
      <c r="AM208" s="526"/>
      <c r="AN208" s="526"/>
      <c r="AO208" s="526"/>
      <c r="AP208" s="526"/>
      <c r="AQ208" s="526"/>
      <c r="AR208" s="526"/>
      <c r="AS208" s="526"/>
      <c r="AT208" s="526"/>
      <c r="AU208" s="526"/>
      <c r="AV208" s="526"/>
      <c r="AW208" s="526"/>
      <c r="AX208" s="526"/>
      <c r="AY208" s="526"/>
      <c r="AZ208" s="526"/>
      <c r="BA208" s="526"/>
      <c r="BB208" s="526"/>
      <c r="BC208" s="526"/>
      <c r="BD208" s="526"/>
      <c r="BE208" s="526"/>
      <c r="BF208" s="526"/>
      <c r="BG208" s="526"/>
    </row>
    <row r="209" spans="1:59" s="830" customFormat="1" ht="17.25" customHeight="1" x14ac:dyDescent="0.25">
      <c r="A209" s="865"/>
      <c r="B209" s="865"/>
      <c r="C209" s="908"/>
      <c r="G209" s="865"/>
      <c r="H209" s="874"/>
      <c r="I209" s="869"/>
      <c r="J209" s="869"/>
      <c r="K209" s="869"/>
      <c r="L209" s="869"/>
      <c r="M209" s="874"/>
      <c r="O209" s="874"/>
      <c r="P209" s="874"/>
      <c r="Q209" s="874"/>
      <c r="R209" s="874"/>
      <c r="S209" s="874"/>
      <c r="T209" s="874"/>
      <c r="W209" s="874"/>
      <c r="X209" s="874"/>
      <c r="Y209" s="874"/>
      <c r="Z209" s="874"/>
      <c r="AA209" s="874"/>
      <c r="AD209" s="526"/>
      <c r="AE209" s="526"/>
      <c r="AF209" s="526"/>
      <c r="AG209" s="526"/>
      <c r="AH209" s="526"/>
      <c r="AI209" s="526"/>
      <c r="AJ209" s="526"/>
      <c r="AK209" s="526"/>
      <c r="AL209" s="526"/>
      <c r="AM209" s="526"/>
      <c r="AN209" s="526"/>
      <c r="AO209" s="526"/>
      <c r="AP209" s="526"/>
      <c r="AQ209" s="526"/>
      <c r="AR209" s="526"/>
      <c r="AS209" s="526"/>
      <c r="AT209" s="526"/>
      <c r="AU209" s="526"/>
      <c r="AV209" s="526"/>
      <c r="AW209" s="526"/>
      <c r="AX209" s="526"/>
      <c r="AY209" s="526"/>
      <c r="AZ209" s="526"/>
      <c r="BA209" s="526"/>
      <c r="BB209" s="526"/>
      <c r="BC209" s="526"/>
      <c r="BD209" s="526"/>
      <c r="BE209" s="526"/>
      <c r="BF209" s="526"/>
      <c r="BG209" s="526"/>
    </row>
    <row r="210" spans="1:59" s="830" customFormat="1" ht="17.25" customHeight="1" x14ac:dyDescent="0.25">
      <c r="A210" s="865"/>
      <c r="B210" s="865"/>
      <c r="C210" s="908"/>
      <c r="G210" s="865"/>
      <c r="H210" s="874"/>
      <c r="I210" s="869"/>
      <c r="J210" s="869"/>
      <c r="K210" s="869"/>
      <c r="L210" s="869"/>
      <c r="M210" s="874"/>
      <c r="O210" s="874"/>
      <c r="P210" s="874"/>
      <c r="Q210" s="874"/>
      <c r="R210" s="874"/>
      <c r="S210" s="874"/>
      <c r="T210" s="874"/>
      <c r="W210" s="874"/>
      <c r="X210" s="874"/>
      <c r="Y210" s="874"/>
      <c r="Z210" s="874"/>
      <c r="AA210" s="874"/>
      <c r="AD210" s="526"/>
      <c r="AE210" s="526"/>
      <c r="AF210" s="526"/>
      <c r="AG210" s="526"/>
      <c r="AH210" s="526"/>
      <c r="AI210" s="526"/>
      <c r="AJ210" s="526"/>
      <c r="AK210" s="526"/>
      <c r="AL210" s="526"/>
      <c r="AM210" s="526"/>
      <c r="AN210" s="526"/>
      <c r="AO210" s="526"/>
      <c r="AP210" s="526"/>
      <c r="AQ210" s="526"/>
      <c r="AR210" s="526"/>
      <c r="AS210" s="526"/>
      <c r="AT210" s="526"/>
      <c r="AU210" s="526"/>
      <c r="AV210" s="526"/>
      <c r="AW210" s="526"/>
      <c r="AX210" s="526"/>
      <c r="AY210" s="526"/>
      <c r="AZ210" s="526"/>
      <c r="BA210" s="526"/>
      <c r="BB210" s="526"/>
      <c r="BC210" s="526"/>
      <c r="BD210" s="526"/>
      <c r="BE210" s="526"/>
      <c r="BF210" s="526"/>
      <c r="BG210" s="526"/>
    </row>
    <row r="211" spans="1:59" s="830" customFormat="1" ht="17.25" customHeight="1" x14ac:dyDescent="0.25">
      <c r="A211" s="865"/>
      <c r="B211" s="865"/>
      <c r="C211" s="908"/>
      <c r="G211" s="865"/>
      <c r="H211" s="874"/>
      <c r="I211" s="869"/>
      <c r="J211" s="869"/>
      <c r="K211" s="869"/>
      <c r="L211" s="869"/>
      <c r="M211" s="874"/>
      <c r="O211" s="874"/>
      <c r="P211" s="874"/>
      <c r="Q211" s="874"/>
      <c r="R211" s="874"/>
      <c r="S211" s="874"/>
      <c r="T211" s="874"/>
      <c r="W211" s="874"/>
      <c r="X211" s="874"/>
      <c r="Y211" s="874"/>
      <c r="Z211" s="874"/>
      <c r="AA211" s="874"/>
      <c r="AD211" s="526"/>
      <c r="AE211" s="526"/>
      <c r="AF211" s="526"/>
      <c r="AG211" s="526"/>
      <c r="AH211" s="526"/>
      <c r="AI211" s="526"/>
      <c r="AJ211" s="526"/>
      <c r="AK211" s="526"/>
      <c r="AL211" s="526"/>
      <c r="AM211" s="526"/>
      <c r="AN211" s="526"/>
      <c r="AO211" s="526"/>
      <c r="AP211" s="526"/>
      <c r="AQ211" s="526"/>
      <c r="AR211" s="526"/>
      <c r="AS211" s="526"/>
      <c r="AT211" s="526"/>
      <c r="AU211" s="526"/>
      <c r="AV211" s="526"/>
      <c r="AW211" s="526"/>
      <c r="AX211" s="526"/>
      <c r="AY211" s="526"/>
      <c r="AZ211" s="526"/>
      <c r="BA211" s="526"/>
      <c r="BB211" s="526"/>
      <c r="BC211" s="526"/>
      <c r="BD211" s="526"/>
      <c r="BE211" s="526"/>
      <c r="BF211" s="526"/>
      <c r="BG211" s="526"/>
    </row>
    <row r="212" spans="1:59" s="830" customFormat="1" ht="17.25" customHeight="1" x14ac:dyDescent="0.25">
      <c r="A212" s="865"/>
      <c r="B212" s="865"/>
      <c r="C212" s="908"/>
      <c r="G212" s="865"/>
      <c r="H212" s="874"/>
      <c r="I212" s="869"/>
      <c r="J212" s="869"/>
      <c r="K212" s="869"/>
      <c r="L212" s="869"/>
      <c r="M212" s="874"/>
      <c r="O212" s="874"/>
      <c r="P212" s="874"/>
      <c r="Q212" s="874"/>
      <c r="R212" s="874"/>
      <c r="S212" s="874"/>
      <c r="T212" s="874"/>
      <c r="W212" s="874"/>
      <c r="X212" s="874"/>
      <c r="Y212" s="874"/>
      <c r="Z212" s="874"/>
      <c r="AA212" s="874"/>
      <c r="AD212" s="526"/>
      <c r="AE212" s="526"/>
      <c r="AF212" s="526"/>
      <c r="AG212" s="526"/>
      <c r="AH212" s="526"/>
      <c r="AI212" s="526"/>
      <c r="AJ212" s="526"/>
      <c r="AK212" s="526"/>
      <c r="AL212" s="526"/>
      <c r="AM212" s="526"/>
      <c r="AN212" s="526"/>
      <c r="AO212" s="526"/>
      <c r="AP212" s="526"/>
      <c r="AQ212" s="526"/>
      <c r="AR212" s="526"/>
      <c r="AS212" s="526"/>
      <c r="AT212" s="526"/>
      <c r="AU212" s="526"/>
      <c r="AV212" s="526"/>
      <c r="AW212" s="526"/>
      <c r="AX212" s="526"/>
      <c r="AY212" s="526"/>
      <c r="AZ212" s="526"/>
      <c r="BA212" s="526"/>
      <c r="BB212" s="526"/>
      <c r="BC212" s="526"/>
      <c r="BD212" s="526"/>
      <c r="BE212" s="526"/>
      <c r="BF212" s="526"/>
      <c r="BG212" s="526"/>
    </row>
    <row r="213" spans="1:59" s="830" customFormat="1" ht="17.25" customHeight="1" x14ac:dyDescent="0.25">
      <c r="A213" s="865"/>
      <c r="B213" s="865"/>
      <c r="C213" s="908"/>
      <c r="G213" s="865"/>
      <c r="H213" s="874"/>
      <c r="I213" s="869"/>
      <c r="J213" s="869"/>
      <c r="K213" s="869"/>
      <c r="L213" s="869"/>
      <c r="M213" s="874"/>
      <c r="O213" s="874"/>
      <c r="P213" s="874"/>
      <c r="Q213" s="874"/>
      <c r="R213" s="874"/>
      <c r="S213" s="874"/>
      <c r="T213" s="874"/>
      <c r="W213" s="874"/>
      <c r="X213" s="874"/>
      <c r="Y213" s="874"/>
      <c r="Z213" s="874"/>
      <c r="AA213" s="874"/>
      <c r="AD213" s="526"/>
      <c r="AE213" s="526"/>
      <c r="AF213" s="526"/>
      <c r="AG213" s="526"/>
      <c r="AH213" s="526"/>
      <c r="AI213" s="526"/>
      <c r="AJ213" s="526"/>
      <c r="AK213" s="526"/>
      <c r="AL213" s="526"/>
      <c r="AM213" s="526"/>
      <c r="AN213" s="526"/>
      <c r="AO213" s="526"/>
      <c r="AP213" s="526"/>
      <c r="AQ213" s="526"/>
      <c r="AR213" s="526"/>
      <c r="AS213" s="526"/>
      <c r="AT213" s="526"/>
      <c r="AU213" s="526"/>
      <c r="AV213" s="526"/>
      <c r="AW213" s="526"/>
      <c r="AX213" s="526"/>
      <c r="AY213" s="526"/>
      <c r="AZ213" s="526"/>
      <c r="BA213" s="526"/>
      <c r="BB213" s="526"/>
      <c r="BC213" s="526"/>
      <c r="BD213" s="526"/>
      <c r="BE213" s="526"/>
      <c r="BF213" s="526"/>
      <c r="BG213" s="526"/>
    </row>
    <row r="214" spans="1:59" s="830" customFormat="1" ht="17.25" customHeight="1" x14ac:dyDescent="0.25">
      <c r="A214" s="865"/>
      <c r="B214" s="865"/>
      <c r="C214" s="908"/>
      <c r="G214" s="865"/>
      <c r="H214" s="874"/>
      <c r="I214" s="869"/>
      <c r="J214" s="869"/>
      <c r="K214" s="869"/>
      <c r="L214" s="869"/>
      <c r="M214" s="874"/>
      <c r="O214" s="874"/>
      <c r="P214" s="874"/>
      <c r="Q214" s="874"/>
      <c r="R214" s="874"/>
      <c r="S214" s="874"/>
      <c r="T214" s="874"/>
      <c r="W214" s="874"/>
      <c r="X214" s="874"/>
      <c r="Y214" s="874"/>
      <c r="Z214" s="874"/>
      <c r="AA214" s="874"/>
      <c r="AD214" s="526"/>
      <c r="AE214" s="526"/>
      <c r="AF214" s="526"/>
      <c r="AG214" s="526"/>
      <c r="AH214" s="526"/>
      <c r="AI214" s="526"/>
      <c r="AJ214" s="526"/>
      <c r="AK214" s="526"/>
      <c r="AL214" s="526"/>
      <c r="AM214" s="526"/>
      <c r="AN214" s="526"/>
      <c r="AO214" s="526"/>
      <c r="AP214" s="526"/>
      <c r="AQ214" s="526"/>
      <c r="AR214" s="526"/>
      <c r="AS214" s="526"/>
      <c r="AT214" s="526"/>
      <c r="AU214" s="526"/>
      <c r="AV214" s="526"/>
      <c r="AW214" s="526"/>
      <c r="AX214" s="526"/>
      <c r="AY214" s="526"/>
      <c r="AZ214" s="526"/>
      <c r="BA214" s="526"/>
      <c r="BB214" s="526"/>
      <c r="BC214" s="526"/>
      <c r="BD214" s="526"/>
      <c r="BE214" s="526"/>
      <c r="BF214" s="526"/>
      <c r="BG214" s="526"/>
    </row>
    <row r="215" spans="1:59" s="830" customFormat="1" ht="17.25" customHeight="1" x14ac:dyDescent="0.25">
      <c r="A215" s="865"/>
      <c r="B215" s="865"/>
      <c r="C215" s="908"/>
      <c r="G215" s="865"/>
      <c r="H215" s="874"/>
      <c r="I215" s="869"/>
      <c r="J215" s="869"/>
      <c r="K215" s="869"/>
      <c r="L215" s="869"/>
      <c r="M215" s="874"/>
      <c r="O215" s="874"/>
      <c r="P215" s="874"/>
      <c r="Q215" s="874"/>
      <c r="R215" s="874"/>
      <c r="S215" s="874"/>
      <c r="T215" s="874"/>
      <c r="W215" s="874"/>
      <c r="X215" s="874"/>
      <c r="Y215" s="874"/>
      <c r="Z215" s="874"/>
      <c r="AA215" s="874"/>
      <c r="AD215" s="526"/>
      <c r="AE215" s="526"/>
      <c r="AF215" s="526"/>
      <c r="AG215" s="526"/>
      <c r="AH215" s="526"/>
      <c r="AI215" s="526"/>
      <c r="AJ215" s="526"/>
      <c r="AK215" s="526"/>
      <c r="AL215" s="526"/>
      <c r="AM215" s="526"/>
      <c r="AN215" s="526"/>
      <c r="AO215" s="526"/>
      <c r="AP215" s="526"/>
      <c r="AQ215" s="526"/>
      <c r="AR215" s="526"/>
      <c r="AS215" s="526"/>
      <c r="AT215" s="526"/>
      <c r="AU215" s="526"/>
      <c r="AV215" s="526"/>
      <c r="AW215" s="526"/>
      <c r="AX215" s="526"/>
      <c r="AY215" s="526"/>
      <c r="AZ215" s="526"/>
      <c r="BA215" s="526"/>
      <c r="BB215" s="526"/>
      <c r="BC215" s="526"/>
      <c r="BD215" s="526"/>
      <c r="BE215" s="526"/>
      <c r="BF215" s="526"/>
      <c r="BG215" s="526"/>
    </row>
    <row r="216" spans="1:59" s="830" customFormat="1" ht="17.25" customHeight="1" x14ac:dyDescent="0.25">
      <c r="A216" s="865"/>
      <c r="B216" s="865"/>
      <c r="C216" s="908"/>
      <c r="G216" s="865"/>
      <c r="H216" s="874"/>
      <c r="I216" s="869"/>
      <c r="J216" s="869"/>
      <c r="K216" s="869"/>
      <c r="L216" s="869"/>
      <c r="M216" s="874"/>
      <c r="O216" s="874"/>
      <c r="P216" s="874"/>
      <c r="Q216" s="874"/>
      <c r="R216" s="874"/>
      <c r="S216" s="874"/>
      <c r="T216" s="874"/>
      <c r="W216" s="874"/>
      <c r="X216" s="874"/>
      <c r="Y216" s="874"/>
      <c r="Z216" s="874"/>
      <c r="AA216" s="874"/>
      <c r="AD216" s="526"/>
      <c r="AE216" s="526"/>
      <c r="AF216" s="526"/>
      <c r="AG216" s="526"/>
      <c r="AH216" s="526"/>
      <c r="AI216" s="526"/>
      <c r="AJ216" s="526"/>
      <c r="AK216" s="526"/>
      <c r="AL216" s="526"/>
      <c r="AM216" s="526"/>
      <c r="AN216" s="526"/>
      <c r="AO216" s="526"/>
      <c r="AP216" s="526"/>
      <c r="AQ216" s="526"/>
      <c r="AR216" s="526"/>
      <c r="AS216" s="526"/>
      <c r="AT216" s="526"/>
      <c r="AU216" s="526"/>
      <c r="AV216" s="526"/>
      <c r="AW216" s="526"/>
      <c r="AX216" s="526"/>
      <c r="AY216" s="526"/>
      <c r="AZ216" s="526"/>
      <c r="BA216" s="526"/>
      <c r="BB216" s="526"/>
      <c r="BC216" s="526"/>
      <c r="BD216" s="526"/>
      <c r="BE216" s="526"/>
      <c r="BF216" s="526"/>
      <c r="BG216" s="526"/>
    </row>
    <row r="217" spans="1:59" s="830" customFormat="1" ht="17.25" customHeight="1" x14ac:dyDescent="0.25">
      <c r="A217" s="865"/>
      <c r="B217" s="865"/>
      <c r="C217" s="908"/>
      <c r="G217" s="865"/>
      <c r="H217" s="874"/>
      <c r="I217" s="869"/>
      <c r="J217" s="869"/>
      <c r="K217" s="869"/>
      <c r="L217" s="869"/>
      <c r="M217" s="874"/>
      <c r="O217" s="874"/>
      <c r="P217" s="874"/>
      <c r="Q217" s="874"/>
      <c r="R217" s="874"/>
      <c r="S217" s="874"/>
      <c r="T217" s="874"/>
      <c r="W217" s="874"/>
      <c r="X217" s="874"/>
      <c r="Y217" s="874"/>
      <c r="Z217" s="874"/>
      <c r="AA217" s="874"/>
      <c r="AD217" s="526"/>
      <c r="AE217" s="526"/>
      <c r="AF217" s="526"/>
      <c r="AG217" s="526"/>
      <c r="AH217" s="526"/>
      <c r="AI217" s="526"/>
      <c r="AJ217" s="526"/>
      <c r="AK217" s="526"/>
      <c r="AL217" s="526"/>
      <c r="AM217" s="526"/>
      <c r="AN217" s="526"/>
      <c r="AO217" s="526"/>
      <c r="AP217" s="526"/>
      <c r="AQ217" s="526"/>
      <c r="AR217" s="526"/>
      <c r="AS217" s="526"/>
      <c r="AT217" s="526"/>
      <c r="AU217" s="526"/>
      <c r="AV217" s="526"/>
      <c r="AW217" s="526"/>
      <c r="AX217" s="526"/>
      <c r="AY217" s="526"/>
      <c r="AZ217" s="526"/>
      <c r="BA217" s="526"/>
      <c r="BB217" s="526"/>
      <c r="BC217" s="526"/>
      <c r="BD217" s="526"/>
      <c r="BE217" s="526"/>
      <c r="BF217" s="526"/>
      <c r="BG217" s="526"/>
    </row>
    <row r="218" spans="1:59" s="830" customFormat="1" ht="17.25" customHeight="1" x14ac:dyDescent="0.25">
      <c r="A218" s="865"/>
      <c r="B218" s="865"/>
      <c r="C218" s="908"/>
      <c r="G218" s="865"/>
      <c r="H218" s="874"/>
      <c r="I218" s="869"/>
      <c r="J218" s="869"/>
      <c r="K218" s="869"/>
      <c r="L218" s="869"/>
      <c r="M218" s="874"/>
      <c r="O218" s="874"/>
      <c r="P218" s="874"/>
      <c r="Q218" s="874"/>
      <c r="R218" s="874"/>
      <c r="S218" s="874"/>
      <c r="T218" s="874"/>
      <c r="W218" s="874"/>
      <c r="X218" s="874"/>
      <c r="Y218" s="874"/>
      <c r="Z218" s="874"/>
      <c r="AA218" s="874"/>
      <c r="AD218" s="526"/>
      <c r="AE218" s="526"/>
      <c r="AF218" s="526"/>
      <c r="AG218" s="526"/>
      <c r="AH218" s="526"/>
      <c r="AI218" s="526"/>
      <c r="AJ218" s="526"/>
      <c r="AK218" s="526"/>
      <c r="AL218" s="526"/>
      <c r="AM218" s="526"/>
      <c r="AN218" s="526"/>
      <c r="AO218" s="526"/>
      <c r="AP218" s="526"/>
      <c r="AQ218" s="526"/>
      <c r="AR218" s="526"/>
      <c r="AS218" s="526"/>
      <c r="AT218" s="526"/>
      <c r="AU218" s="526"/>
      <c r="AV218" s="526"/>
      <c r="AW218" s="526"/>
      <c r="AX218" s="526"/>
      <c r="AY218" s="526"/>
      <c r="AZ218" s="526"/>
      <c r="BA218" s="526"/>
      <c r="BB218" s="526"/>
      <c r="BC218" s="526"/>
      <c r="BD218" s="526"/>
      <c r="BE218" s="526"/>
      <c r="BF218" s="526"/>
      <c r="BG218" s="526"/>
    </row>
    <row r="219" spans="1:59" s="830" customFormat="1" ht="17.25" customHeight="1" x14ac:dyDescent="0.25">
      <c r="A219" s="865"/>
      <c r="B219" s="865"/>
      <c r="C219" s="908"/>
      <c r="G219" s="865"/>
      <c r="H219" s="874"/>
      <c r="I219" s="869"/>
      <c r="J219" s="869"/>
      <c r="K219" s="869"/>
      <c r="L219" s="869"/>
      <c r="M219" s="874"/>
      <c r="O219" s="874"/>
      <c r="P219" s="874"/>
      <c r="Q219" s="874"/>
      <c r="R219" s="874"/>
      <c r="S219" s="874"/>
      <c r="T219" s="874"/>
      <c r="W219" s="874"/>
      <c r="X219" s="874"/>
      <c r="Y219" s="874"/>
      <c r="Z219" s="874"/>
      <c r="AA219" s="874"/>
      <c r="AD219" s="526"/>
      <c r="AE219" s="526"/>
      <c r="AF219" s="526"/>
      <c r="AG219" s="526"/>
      <c r="AH219" s="526"/>
      <c r="AI219" s="526"/>
      <c r="AJ219" s="526"/>
      <c r="AK219" s="526"/>
      <c r="AL219" s="526"/>
      <c r="AM219" s="526"/>
      <c r="AN219" s="526"/>
      <c r="AO219" s="526"/>
      <c r="AP219" s="526"/>
      <c r="AQ219" s="526"/>
      <c r="AR219" s="526"/>
      <c r="AS219" s="526"/>
      <c r="AT219" s="526"/>
      <c r="AU219" s="526"/>
      <c r="AV219" s="526"/>
      <c r="AW219" s="526"/>
      <c r="AX219" s="526"/>
      <c r="AY219" s="526"/>
      <c r="AZ219" s="526"/>
      <c r="BA219" s="526"/>
      <c r="BB219" s="526"/>
      <c r="BC219" s="526"/>
      <c r="BD219" s="526"/>
      <c r="BE219" s="526"/>
      <c r="BF219" s="526"/>
      <c r="BG219" s="526"/>
    </row>
    <row r="220" spans="1:59" s="830" customFormat="1" ht="17.25" customHeight="1" x14ac:dyDescent="0.25">
      <c r="A220" s="865"/>
      <c r="B220" s="865"/>
      <c r="C220" s="908"/>
      <c r="G220" s="865"/>
      <c r="H220" s="874"/>
      <c r="I220" s="869"/>
      <c r="J220" s="869"/>
      <c r="K220" s="869"/>
      <c r="L220" s="869"/>
      <c r="M220" s="874"/>
      <c r="O220" s="874"/>
      <c r="P220" s="874"/>
      <c r="Q220" s="874"/>
      <c r="R220" s="874"/>
      <c r="S220" s="874"/>
      <c r="T220" s="874"/>
      <c r="W220" s="874"/>
      <c r="X220" s="874"/>
      <c r="Y220" s="874"/>
      <c r="Z220" s="874"/>
      <c r="AA220" s="874"/>
      <c r="AD220" s="526"/>
      <c r="AE220" s="526"/>
      <c r="AF220" s="526"/>
      <c r="AG220" s="526"/>
      <c r="AH220" s="526"/>
      <c r="AI220" s="526"/>
      <c r="AJ220" s="526"/>
      <c r="AK220" s="526"/>
      <c r="AL220" s="526"/>
      <c r="AM220" s="526"/>
      <c r="AN220" s="526"/>
      <c r="AO220" s="526"/>
      <c r="AP220" s="526"/>
      <c r="AQ220" s="526"/>
      <c r="AR220" s="526"/>
      <c r="AS220" s="526"/>
      <c r="AT220" s="526"/>
      <c r="AU220" s="526"/>
      <c r="AV220" s="526"/>
      <c r="AW220" s="526"/>
      <c r="AX220" s="526"/>
      <c r="AY220" s="526"/>
      <c r="AZ220" s="526"/>
      <c r="BA220" s="526"/>
      <c r="BB220" s="526"/>
      <c r="BC220" s="526"/>
      <c r="BD220" s="526"/>
      <c r="BE220" s="526"/>
      <c r="BF220" s="526"/>
      <c r="BG220" s="526"/>
    </row>
    <row r="221" spans="1:59" s="830" customFormat="1" ht="17.25" customHeight="1" x14ac:dyDescent="0.25">
      <c r="A221" s="865"/>
      <c r="B221" s="865"/>
      <c r="C221" s="908"/>
      <c r="G221" s="865"/>
      <c r="H221" s="874"/>
      <c r="I221" s="869"/>
      <c r="J221" s="869"/>
      <c r="K221" s="869"/>
      <c r="L221" s="869"/>
      <c r="M221" s="874"/>
      <c r="O221" s="874"/>
      <c r="P221" s="874"/>
      <c r="Q221" s="874"/>
      <c r="R221" s="874"/>
      <c r="S221" s="874"/>
      <c r="T221" s="874"/>
      <c r="W221" s="874"/>
      <c r="X221" s="874"/>
      <c r="Y221" s="874"/>
      <c r="Z221" s="874"/>
      <c r="AA221" s="874"/>
      <c r="AD221" s="526"/>
      <c r="AE221" s="526"/>
      <c r="AF221" s="526"/>
      <c r="AG221" s="526"/>
      <c r="AH221" s="526"/>
      <c r="AI221" s="526"/>
      <c r="AJ221" s="526"/>
      <c r="AK221" s="526"/>
      <c r="AL221" s="526"/>
      <c r="AM221" s="526"/>
      <c r="AN221" s="526"/>
      <c r="AO221" s="526"/>
      <c r="AP221" s="526"/>
      <c r="AQ221" s="526"/>
      <c r="AR221" s="526"/>
      <c r="AS221" s="526"/>
      <c r="AT221" s="526"/>
      <c r="AU221" s="526"/>
      <c r="AV221" s="526"/>
      <c r="AW221" s="526"/>
      <c r="AX221" s="526"/>
      <c r="AY221" s="526"/>
      <c r="AZ221" s="526"/>
      <c r="BA221" s="526"/>
      <c r="BB221" s="526"/>
      <c r="BC221" s="526"/>
      <c r="BD221" s="526"/>
      <c r="BE221" s="526"/>
      <c r="BF221" s="526"/>
      <c r="BG221" s="526"/>
    </row>
    <row r="222" spans="1:59" s="830" customFormat="1" ht="17.25" customHeight="1" x14ac:dyDescent="0.25">
      <c r="A222" s="865"/>
      <c r="B222" s="865"/>
      <c r="C222" s="908"/>
      <c r="G222" s="865"/>
      <c r="H222" s="874"/>
      <c r="I222" s="869"/>
      <c r="J222" s="869"/>
      <c r="K222" s="869"/>
      <c r="L222" s="869"/>
      <c r="M222" s="874"/>
      <c r="O222" s="874"/>
      <c r="P222" s="874"/>
      <c r="Q222" s="874"/>
      <c r="R222" s="874"/>
      <c r="S222" s="874"/>
      <c r="T222" s="874"/>
      <c r="W222" s="874"/>
      <c r="X222" s="874"/>
      <c r="Y222" s="874"/>
      <c r="Z222" s="874"/>
      <c r="AA222" s="874"/>
      <c r="AD222" s="526"/>
      <c r="AE222" s="526"/>
      <c r="AF222" s="526"/>
      <c r="AG222" s="526"/>
      <c r="AH222" s="526"/>
      <c r="AI222" s="526"/>
      <c r="AJ222" s="526"/>
      <c r="AK222" s="526"/>
      <c r="AL222" s="526"/>
      <c r="AM222" s="526"/>
      <c r="AN222" s="526"/>
      <c r="AO222" s="526"/>
      <c r="AP222" s="526"/>
      <c r="AQ222" s="526"/>
      <c r="AR222" s="526"/>
      <c r="AS222" s="526"/>
      <c r="AT222" s="526"/>
      <c r="AU222" s="526"/>
      <c r="AV222" s="526"/>
      <c r="AW222" s="526"/>
      <c r="AX222" s="526"/>
      <c r="AY222" s="526"/>
      <c r="AZ222" s="526"/>
      <c r="BA222" s="526"/>
      <c r="BB222" s="526"/>
      <c r="BC222" s="526"/>
      <c r="BD222" s="526"/>
      <c r="BE222" s="526"/>
      <c r="BF222" s="526"/>
      <c r="BG222" s="526"/>
    </row>
    <row r="223" spans="1:59" s="830" customFormat="1" ht="17.25" customHeight="1" x14ac:dyDescent="0.25">
      <c r="A223" s="865"/>
      <c r="B223" s="865"/>
      <c r="C223" s="908"/>
      <c r="G223" s="865"/>
      <c r="H223" s="874"/>
      <c r="I223" s="869"/>
      <c r="J223" s="869"/>
      <c r="K223" s="869"/>
      <c r="L223" s="869"/>
      <c r="M223" s="874"/>
      <c r="O223" s="874"/>
      <c r="P223" s="874"/>
      <c r="Q223" s="874"/>
      <c r="R223" s="874"/>
      <c r="S223" s="874"/>
      <c r="T223" s="874"/>
      <c r="W223" s="874"/>
      <c r="X223" s="874"/>
      <c r="Y223" s="874"/>
      <c r="Z223" s="874"/>
      <c r="AA223" s="874"/>
      <c r="AD223" s="526"/>
      <c r="AE223" s="526"/>
      <c r="AF223" s="526"/>
      <c r="AG223" s="526"/>
      <c r="AH223" s="526"/>
      <c r="AI223" s="526"/>
      <c r="AJ223" s="526"/>
      <c r="AK223" s="526"/>
      <c r="AL223" s="526"/>
      <c r="AM223" s="526"/>
      <c r="AN223" s="526"/>
      <c r="AO223" s="526"/>
      <c r="AP223" s="526"/>
      <c r="AQ223" s="526"/>
      <c r="AR223" s="526"/>
      <c r="AS223" s="526"/>
      <c r="AT223" s="526"/>
      <c r="AU223" s="526"/>
      <c r="AV223" s="526"/>
      <c r="AW223" s="526"/>
      <c r="AX223" s="526"/>
      <c r="AY223" s="526"/>
      <c r="AZ223" s="526"/>
      <c r="BA223" s="526"/>
      <c r="BB223" s="526"/>
      <c r="BC223" s="526"/>
      <c r="BD223" s="526"/>
      <c r="BE223" s="526"/>
      <c r="BF223" s="526"/>
      <c r="BG223" s="526"/>
    </row>
    <row r="224" spans="1:59" s="830" customFormat="1" ht="17.25" customHeight="1" x14ac:dyDescent="0.25">
      <c r="A224" s="865"/>
      <c r="B224" s="865"/>
      <c r="C224" s="908"/>
      <c r="G224" s="865"/>
      <c r="H224" s="874"/>
      <c r="I224" s="869"/>
      <c r="J224" s="869"/>
      <c r="K224" s="869"/>
      <c r="L224" s="869"/>
      <c r="M224" s="874"/>
      <c r="O224" s="874"/>
      <c r="P224" s="874"/>
      <c r="Q224" s="874"/>
      <c r="R224" s="874"/>
      <c r="S224" s="874"/>
      <c r="T224" s="874"/>
      <c r="W224" s="874"/>
      <c r="X224" s="874"/>
      <c r="Y224" s="874"/>
      <c r="Z224" s="874"/>
      <c r="AA224" s="874"/>
      <c r="AD224" s="526"/>
      <c r="AE224" s="526"/>
      <c r="AF224" s="526"/>
      <c r="AG224" s="526"/>
      <c r="AH224" s="526"/>
      <c r="AI224" s="526"/>
      <c r="AJ224" s="526"/>
      <c r="AK224" s="526"/>
      <c r="AL224" s="526"/>
      <c r="AM224" s="526"/>
      <c r="AN224" s="526"/>
      <c r="AO224" s="526"/>
      <c r="AP224" s="526"/>
      <c r="AQ224" s="526"/>
      <c r="AR224" s="526"/>
      <c r="AS224" s="526"/>
      <c r="AT224" s="526"/>
      <c r="AU224" s="526"/>
      <c r="AV224" s="526"/>
      <c r="AW224" s="526"/>
      <c r="AX224" s="526"/>
      <c r="AY224" s="526"/>
      <c r="AZ224" s="526"/>
      <c r="BA224" s="526"/>
      <c r="BB224" s="526"/>
      <c r="BC224" s="526"/>
      <c r="BD224" s="526"/>
      <c r="BE224" s="526"/>
      <c r="BF224" s="526"/>
      <c r="BG224" s="526"/>
    </row>
    <row r="225" spans="1:59" s="830" customFormat="1" ht="17.25" customHeight="1" x14ac:dyDescent="0.25">
      <c r="A225" s="865"/>
      <c r="B225" s="865"/>
      <c r="C225" s="908"/>
      <c r="G225" s="865"/>
      <c r="H225" s="874"/>
      <c r="I225" s="869"/>
      <c r="J225" s="869"/>
      <c r="K225" s="869"/>
      <c r="L225" s="869"/>
      <c r="M225" s="874"/>
      <c r="O225" s="874"/>
      <c r="P225" s="874"/>
      <c r="Q225" s="874"/>
      <c r="R225" s="874"/>
      <c r="S225" s="874"/>
      <c r="T225" s="874"/>
      <c r="W225" s="874"/>
      <c r="X225" s="874"/>
      <c r="Y225" s="874"/>
      <c r="Z225" s="874"/>
      <c r="AA225" s="874"/>
      <c r="AD225" s="526"/>
      <c r="AE225" s="526"/>
      <c r="AF225" s="526"/>
      <c r="AG225" s="526"/>
      <c r="AH225" s="526"/>
      <c r="AI225" s="526"/>
      <c r="AJ225" s="526"/>
      <c r="AK225" s="526"/>
      <c r="AL225" s="526"/>
      <c r="AM225" s="526"/>
      <c r="AN225" s="526"/>
      <c r="AO225" s="526"/>
      <c r="AP225" s="526"/>
      <c r="AQ225" s="526"/>
      <c r="AR225" s="526"/>
      <c r="AS225" s="526"/>
      <c r="AT225" s="526"/>
      <c r="AU225" s="526"/>
      <c r="AV225" s="526"/>
      <c r="AW225" s="526"/>
      <c r="AX225" s="526"/>
      <c r="AY225" s="526"/>
      <c r="AZ225" s="526"/>
      <c r="BA225" s="526"/>
      <c r="BB225" s="526"/>
      <c r="BC225" s="526"/>
      <c r="BD225" s="526"/>
      <c r="BE225" s="526"/>
      <c r="BF225" s="526"/>
      <c r="BG225" s="526"/>
    </row>
    <row r="226" spans="1:59" s="830" customFormat="1" ht="17.25" customHeight="1" x14ac:dyDescent="0.25">
      <c r="A226" s="865"/>
      <c r="B226" s="865"/>
      <c r="C226" s="908"/>
      <c r="G226" s="865"/>
      <c r="H226" s="874"/>
      <c r="I226" s="869"/>
      <c r="J226" s="869"/>
      <c r="K226" s="869"/>
      <c r="L226" s="869"/>
      <c r="M226" s="874"/>
      <c r="O226" s="874"/>
      <c r="P226" s="874"/>
      <c r="Q226" s="874"/>
      <c r="R226" s="874"/>
      <c r="S226" s="874"/>
      <c r="T226" s="874"/>
      <c r="W226" s="874"/>
      <c r="X226" s="874"/>
      <c r="Y226" s="874"/>
      <c r="Z226" s="874"/>
      <c r="AA226" s="874"/>
      <c r="AD226" s="526"/>
      <c r="AE226" s="526"/>
      <c r="AF226" s="526"/>
      <c r="AG226" s="526"/>
      <c r="AH226" s="526"/>
      <c r="AI226" s="526"/>
      <c r="AJ226" s="526"/>
      <c r="AK226" s="526"/>
      <c r="AL226" s="526"/>
      <c r="AM226" s="526"/>
      <c r="AN226" s="526"/>
      <c r="AO226" s="526"/>
      <c r="AP226" s="526"/>
      <c r="AQ226" s="526"/>
      <c r="AR226" s="526"/>
      <c r="AS226" s="526"/>
      <c r="AT226" s="526"/>
      <c r="AU226" s="526"/>
      <c r="AV226" s="526"/>
      <c r="AW226" s="526"/>
      <c r="AX226" s="526"/>
      <c r="AY226" s="526"/>
      <c r="AZ226" s="526"/>
      <c r="BA226" s="526"/>
      <c r="BB226" s="526"/>
      <c r="BC226" s="526"/>
      <c r="BD226" s="526"/>
      <c r="BE226" s="526"/>
      <c r="BF226" s="526"/>
      <c r="BG226" s="526"/>
    </row>
    <row r="227" spans="1:59" s="830" customFormat="1" ht="17.25" customHeight="1" x14ac:dyDescent="0.25">
      <c r="A227" s="865"/>
      <c r="B227" s="865"/>
      <c r="C227" s="908"/>
      <c r="G227" s="865"/>
      <c r="H227" s="874"/>
      <c r="I227" s="869"/>
      <c r="J227" s="869"/>
      <c r="K227" s="869"/>
      <c r="L227" s="869"/>
      <c r="M227" s="874"/>
      <c r="O227" s="874"/>
      <c r="P227" s="874"/>
      <c r="Q227" s="874"/>
      <c r="R227" s="874"/>
      <c r="S227" s="874"/>
      <c r="T227" s="874"/>
      <c r="W227" s="874"/>
      <c r="X227" s="874"/>
      <c r="Y227" s="874"/>
      <c r="Z227" s="874"/>
      <c r="AA227" s="874"/>
      <c r="AD227" s="526"/>
      <c r="AE227" s="526"/>
      <c r="AF227" s="526"/>
      <c r="AG227" s="526"/>
      <c r="AH227" s="526"/>
      <c r="AI227" s="526"/>
      <c r="AJ227" s="526"/>
      <c r="AK227" s="526"/>
      <c r="AL227" s="526"/>
      <c r="AM227" s="526"/>
      <c r="AN227" s="526"/>
      <c r="AO227" s="526"/>
      <c r="AP227" s="526"/>
      <c r="AQ227" s="526"/>
      <c r="AR227" s="526"/>
      <c r="AS227" s="526"/>
      <c r="AT227" s="526"/>
      <c r="AU227" s="526"/>
      <c r="AV227" s="526"/>
      <c r="AW227" s="526"/>
      <c r="AX227" s="526"/>
      <c r="AY227" s="526"/>
      <c r="AZ227" s="526"/>
      <c r="BA227" s="526"/>
      <c r="BB227" s="526"/>
      <c r="BC227" s="526"/>
      <c r="BD227" s="526"/>
      <c r="BE227" s="526"/>
      <c r="BF227" s="526"/>
      <c r="BG227" s="526"/>
    </row>
    <row r="228" spans="1:59" s="830" customFormat="1" ht="17.25" customHeight="1" x14ac:dyDescent="0.25">
      <c r="A228" s="865"/>
      <c r="B228" s="865"/>
      <c r="C228" s="908"/>
      <c r="G228" s="865"/>
      <c r="H228" s="874"/>
      <c r="I228" s="869"/>
      <c r="J228" s="869"/>
      <c r="K228" s="869"/>
      <c r="L228" s="869"/>
      <c r="M228" s="874"/>
      <c r="O228" s="874"/>
      <c r="P228" s="874"/>
      <c r="Q228" s="874"/>
      <c r="R228" s="874"/>
      <c r="S228" s="874"/>
      <c r="T228" s="874"/>
      <c r="W228" s="874"/>
      <c r="X228" s="874"/>
      <c r="Y228" s="874"/>
      <c r="Z228" s="874"/>
      <c r="AA228" s="874"/>
      <c r="AD228" s="526"/>
      <c r="AE228" s="526"/>
      <c r="AF228" s="526"/>
      <c r="AG228" s="526"/>
      <c r="AH228" s="526"/>
      <c r="AI228" s="526"/>
      <c r="AJ228" s="526"/>
      <c r="AK228" s="526"/>
      <c r="AL228" s="526"/>
      <c r="AM228" s="526"/>
      <c r="AN228" s="526"/>
      <c r="AO228" s="526"/>
      <c r="AP228" s="526"/>
      <c r="AQ228" s="526"/>
      <c r="AR228" s="526"/>
      <c r="AS228" s="526"/>
      <c r="AT228" s="526"/>
      <c r="AU228" s="526"/>
      <c r="AV228" s="526"/>
      <c r="AW228" s="526"/>
      <c r="AX228" s="526"/>
      <c r="AY228" s="526"/>
      <c r="AZ228" s="526"/>
      <c r="BA228" s="526"/>
      <c r="BB228" s="526"/>
      <c r="BC228" s="526"/>
      <c r="BD228" s="526"/>
      <c r="BE228" s="526"/>
      <c r="BF228" s="526"/>
      <c r="BG228" s="526"/>
    </row>
    <row r="229" spans="1:59" s="830" customFormat="1" ht="17.25" customHeight="1" x14ac:dyDescent="0.25">
      <c r="A229" s="865"/>
      <c r="B229" s="865"/>
      <c r="C229" s="908"/>
      <c r="G229" s="865"/>
      <c r="H229" s="874"/>
      <c r="I229" s="869"/>
      <c r="J229" s="869"/>
      <c r="K229" s="869"/>
      <c r="L229" s="869"/>
      <c r="M229" s="874"/>
      <c r="O229" s="874"/>
      <c r="P229" s="874"/>
      <c r="Q229" s="874"/>
      <c r="R229" s="874"/>
      <c r="S229" s="874"/>
      <c r="T229" s="874"/>
      <c r="W229" s="874"/>
      <c r="X229" s="874"/>
      <c r="Y229" s="874"/>
      <c r="Z229" s="874"/>
      <c r="AA229" s="874"/>
      <c r="AD229" s="526"/>
      <c r="AE229" s="526"/>
      <c r="AF229" s="526"/>
      <c r="AG229" s="526"/>
      <c r="AH229" s="526"/>
      <c r="AI229" s="526"/>
      <c r="AJ229" s="526"/>
      <c r="AK229" s="526"/>
      <c r="AL229" s="526"/>
      <c r="AM229" s="526"/>
      <c r="AN229" s="526"/>
      <c r="AO229" s="526"/>
      <c r="AP229" s="526"/>
      <c r="AQ229" s="526"/>
      <c r="AR229" s="526"/>
      <c r="AS229" s="526"/>
      <c r="AT229" s="526"/>
      <c r="AU229" s="526"/>
      <c r="AV229" s="526"/>
      <c r="AW229" s="526"/>
      <c r="AX229" s="526"/>
      <c r="AY229" s="526"/>
      <c r="AZ229" s="526"/>
      <c r="BA229" s="526"/>
      <c r="BB229" s="526"/>
      <c r="BC229" s="526"/>
      <c r="BD229" s="526"/>
      <c r="BE229" s="526"/>
      <c r="BF229" s="526"/>
      <c r="BG229" s="526"/>
    </row>
    <row r="230" spans="1:59" s="830" customFormat="1" ht="17.25" customHeight="1" x14ac:dyDescent="0.25">
      <c r="A230" s="865"/>
      <c r="B230" s="865"/>
      <c r="C230" s="908"/>
      <c r="G230" s="865"/>
      <c r="H230" s="874"/>
      <c r="I230" s="869"/>
      <c r="J230" s="869"/>
      <c r="K230" s="869"/>
      <c r="L230" s="869"/>
      <c r="M230" s="874"/>
      <c r="O230" s="874"/>
      <c r="P230" s="874"/>
      <c r="Q230" s="874"/>
      <c r="R230" s="874"/>
      <c r="S230" s="874"/>
      <c r="T230" s="874"/>
      <c r="W230" s="874"/>
      <c r="X230" s="874"/>
      <c r="Y230" s="874"/>
      <c r="Z230" s="874"/>
      <c r="AA230" s="874"/>
      <c r="AD230" s="526"/>
      <c r="AE230" s="526"/>
      <c r="AF230" s="526"/>
      <c r="AG230" s="526"/>
      <c r="AH230" s="526"/>
      <c r="AI230" s="526"/>
      <c r="AJ230" s="526"/>
      <c r="AK230" s="526"/>
      <c r="AL230" s="526"/>
      <c r="AM230" s="526"/>
      <c r="AN230" s="526"/>
      <c r="AO230" s="526"/>
      <c r="AP230" s="526"/>
      <c r="AQ230" s="526"/>
      <c r="AR230" s="526"/>
      <c r="AS230" s="526"/>
      <c r="AT230" s="526"/>
      <c r="AU230" s="526"/>
      <c r="AV230" s="526"/>
      <c r="AW230" s="526"/>
      <c r="AX230" s="526"/>
      <c r="AY230" s="526"/>
      <c r="AZ230" s="526"/>
      <c r="BA230" s="526"/>
      <c r="BB230" s="526"/>
      <c r="BC230" s="526"/>
      <c r="BD230" s="526"/>
      <c r="BE230" s="526"/>
      <c r="BF230" s="526"/>
      <c r="BG230" s="526"/>
    </row>
    <row r="231" spans="1:59" s="830" customFormat="1" ht="17.25" customHeight="1" x14ac:dyDescent="0.25">
      <c r="A231" s="865"/>
      <c r="B231" s="865"/>
      <c r="C231" s="908"/>
      <c r="G231" s="865"/>
      <c r="H231" s="874"/>
      <c r="I231" s="869"/>
      <c r="J231" s="869"/>
      <c r="K231" s="869"/>
      <c r="L231" s="869"/>
      <c r="M231" s="874"/>
      <c r="O231" s="874"/>
      <c r="P231" s="874"/>
      <c r="Q231" s="874"/>
      <c r="R231" s="874"/>
      <c r="S231" s="874"/>
      <c r="T231" s="874"/>
      <c r="W231" s="874"/>
      <c r="X231" s="874"/>
      <c r="Y231" s="874"/>
      <c r="Z231" s="874"/>
      <c r="AA231" s="874"/>
      <c r="AD231" s="526"/>
      <c r="AE231" s="526"/>
      <c r="AF231" s="526"/>
      <c r="AG231" s="526"/>
      <c r="AH231" s="526"/>
      <c r="AI231" s="526"/>
      <c r="AJ231" s="526"/>
      <c r="AK231" s="526"/>
      <c r="AL231" s="526"/>
      <c r="AM231" s="526"/>
      <c r="AN231" s="526"/>
      <c r="AO231" s="526"/>
      <c r="AP231" s="526"/>
      <c r="AQ231" s="526"/>
      <c r="AR231" s="526"/>
      <c r="AS231" s="526"/>
      <c r="AT231" s="526"/>
      <c r="AU231" s="526"/>
      <c r="AV231" s="526"/>
      <c r="AW231" s="526"/>
      <c r="AX231" s="526"/>
      <c r="AY231" s="526"/>
      <c r="AZ231" s="526"/>
      <c r="BA231" s="526"/>
      <c r="BB231" s="526"/>
      <c r="BC231" s="526"/>
      <c r="BD231" s="526"/>
      <c r="BE231" s="526"/>
      <c r="BF231" s="526"/>
      <c r="BG231" s="526"/>
    </row>
    <row r="232" spans="1:59" s="830" customFormat="1" ht="17.25" customHeight="1" x14ac:dyDescent="0.25">
      <c r="A232" s="865"/>
      <c r="B232" s="865"/>
      <c r="C232" s="908"/>
      <c r="G232" s="865"/>
      <c r="H232" s="874"/>
      <c r="I232" s="869"/>
      <c r="J232" s="869"/>
      <c r="K232" s="869"/>
      <c r="L232" s="869"/>
      <c r="M232" s="874"/>
      <c r="O232" s="874"/>
      <c r="P232" s="874"/>
      <c r="Q232" s="874"/>
      <c r="R232" s="874"/>
      <c r="S232" s="874"/>
      <c r="T232" s="874"/>
      <c r="W232" s="874"/>
      <c r="X232" s="874"/>
      <c r="Y232" s="874"/>
      <c r="Z232" s="874"/>
      <c r="AA232" s="874"/>
      <c r="AD232" s="526"/>
      <c r="AE232" s="526"/>
      <c r="AF232" s="526"/>
      <c r="AG232" s="526"/>
      <c r="AH232" s="526"/>
      <c r="AI232" s="526"/>
      <c r="AJ232" s="526"/>
      <c r="AK232" s="526"/>
      <c r="AL232" s="526"/>
      <c r="AM232" s="526"/>
      <c r="AN232" s="526"/>
      <c r="AO232" s="526"/>
      <c r="AP232" s="526"/>
      <c r="AQ232" s="526"/>
      <c r="AR232" s="526"/>
      <c r="AS232" s="526"/>
      <c r="AT232" s="526"/>
      <c r="AU232" s="526"/>
      <c r="AV232" s="526"/>
      <c r="AW232" s="526"/>
      <c r="AX232" s="526"/>
      <c r="AY232" s="526"/>
      <c r="AZ232" s="526"/>
      <c r="BA232" s="526"/>
      <c r="BB232" s="526"/>
      <c r="BC232" s="526"/>
      <c r="BD232" s="526"/>
      <c r="BE232" s="526"/>
      <c r="BF232" s="526"/>
      <c r="BG232" s="526"/>
    </row>
    <row r="233" spans="1:59" s="830" customFormat="1" ht="17.25" customHeight="1" x14ac:dyDescent="0.25">
      <c r="A233" s="865"/>
      <c r="B233" s="865"/>
      <c r="C233" s="908"/>
      <c r="G233" s="865"/>
      <c r="H233" s="874"/>
      <c r="I233" s="869"/>
      <c r="J233" s="869"/>
      <c r="K233" s="869"/>
      <c r="L233" s="869"/>
      <c r="M233" s="874"/>
      <c r="O233" s="874"/>
      <c r="P233" s="874"/>
      <c r="Q233" s="874"/>
      <c r="R233" s="874"/>
      <c r="S233" s="874"/>
      <c r="T233" s="874"/>
      <c r="W233" s="874"/>
      <c r="X233" s="874"/>
      <c r="Y233" s="874"/>
      <c r="Z233" s="874"/>
      <c r="AA233" s="874"/>
      <c r="AD233" s="526"/>
      <c r="AE233" s="526"/>
      <c r="AF233" s="526"/>
      <c r="AG233" s="526"/>
      <c r="AH233" s="526"/>
      <c r="AI233" s="526"/>
      <c r="AJ233" s="526"/>
      <c r="AK233" s="526"/>
      <c r="AL233" s="526"/>
      <c r="AM233" s="526"/>
      <c r="AN233" s="526"/>
      <c r="AO233" s="526"/>
      <c r="AP233" s="526"/>
      <c r="AQ233" s="526"/>
      <c r="AR233" s="526"/>
      <c r="AS233" s="526"/>
      <c r="AT233" s="526"/>
      <c r="AU233" s="526"/>
      <c r="AV233" s="526"/>
      <c r="AW233" s="526"/>
      <c r="AX233" s="526"/>
      <c r="AY233" s="526"/>
      <c r="AZ233" s="526"/>
      <c r="BA233" s="526"/>
      <c r="BB233" s="526"/>
      <c r="BC233" s="526"/>
      <c r="BD233" s="526"/>
      <c r="BE233" s="526"/>
      <c r="BF233" s="526"/>
      <c r="BG233" s="526"/>
    </row>
    <row r="234" spans="1:59" s="830" customFormat="1" ht="17.25" customHeight="1" x14ac:dyDescent="0.25">
      <c r="A234" s="865"/>
      <c r="B234" s="865"/>
      <c r="C234" s="908"/>
      <c r="G234" s="865"/>
      <c r="H234" s="874"/>
      <c r="I234" s="869"/>
      <c r="J234" s="869"/>
      <c r="K234" s="869"/>
      <c r="L234" s="869"/>
      <c r="M234" s="874"/>
      <c r="O234" s="874"/>
      <c r="P234" s="874"/>
      <c r="Q234" s="874"/>
      <c r="R234" s="874"/>
      <c r="S234" s="874"/>
      <c r="T234" s="874"/>
      <c r="W234" s="874"/>
      <c r="X234" s="874"/>
      <c r="Y234" s="874"/>
      <c r="Z234" s="874"/>
      <c r="AA234" s="874"/>
      <c r="AD234" s="526"/>
      <c r="AE234" s="526"/>
      <c r="AF234" s="526"/>
      <c r="AG234" s="526"/>
      <c r="AH234" s="526"/>
      <c r="AI234" s="526"/>
      <c r="AJ234" s="526"/>
      <c r="AK234" s="526"/>
      <c r="AL234" s="526"/>
      <c r="AM234" s="526"/>
      <c r="AN234" s="526"/>
      <c r="AO234" s="526"/>
      <c r="AP234" s="526"/>
      <c r="AQ234" s="526"/>
      <c r="AR234" s="526"/>
      <c r="AS234" s="526"/>
      <c r="AT234" s="526"/>
      <c r="AU234" s="526"/>
      <c r="AV234" s="526"/>
      <c r="AW234" s="526"/>
      <c r="AX234" s="526"/>
      <c r="AY234" s="526"/>
      <c r="AZ234" s="526"/>
      <c r="BA234" s="526"/>
      <c r="BB234" s="526"/>
      <c r="BC234" s="526"/>
      <c r="BD234" s="526"/>
      <c r="BE234" s="526"/>
      <c r="BF234" s="526"/>
      <c r="BG234" s="526"/>
    </row>
    <row r="235" spans="1:59" s="830" customFormat="1" ht="17.25" customHeight="1" x14ac:dyDescent="0.25">
      <c r="A235" s="865"/>
      <c r="B235" s="865"/>
      <c r="C235" s="908"/>
      <c r="G235" s="865"/>
      <c r="H235" s="874"/>
      <c r="I235" s="869"/>
      <c r="J235" s="869"/>
      <c r="K235" s="869"/>
      <c r="L235" s="869"/>
      <c r="M235" s="874"/>
      <c r="O235" s="874"/>
      <c r="P235" s="874"/>
      <c r="Q235" s="874"/>
      <c r="R235" s="874"/>
      <c r="S235" s="874"/>
      <c r="T235" s="874"/>
      <c r="W235" s="874"/>
      <c r="X235" s="874"/>
      <c r="Y235" s="874"/>
      <c r="Z235" s="874"/>
      <c r="AA235" s="874"/>
      <c r="AD235" s="526"/>
      <c r="AE235" s="526"/>
      <c r="AF235" s="526"/>
      <c r="AG235" s="526"/>
      <c r="AH235" s="526"/>
      <c r="AI235" s="526"/>
      <c r="AJ235" s="526"/>
      <c r="AK235" s="526"/>
      <c r="AL235" s="526"/>
      <c r="AM235" s="526"/>
      <c r="AN235" s="526"/>
      <c r="AO235" s="526"/>
      <c r="AP235" s="526"/>
      <c r="AQ235" s="526"/>
      <c r="AR235" s="526"/>
      <c r="AS235" s="526"/>
      <c r="AT235" s="526"/>
      <c r="AU235" s="526"/>
      <c r="AV235" s="526"/>
      <c r="AW235" s="526"/>
      <c r="AX235" s="526"/>
      <c r="AY235" s="526"/>
      <c r="AZ235" s="526"/>
      <c r="BA235" s="526"/>
      <c r="BB235" s="526"/>
      <c r="BC235" s="526"/>
      <c r="BD235" s="526"/>
      <c r="BE235" s="526"/>
      <c r="BF235" s="526"/>
      <c r="BG235" s="526"/>
    </row>
    <row r="236" spans="1:59" s="830" customFormat="1" ht="17.25" customHeight="1" x14ac:dyDescent="0.25">
      <c r="A236" s="865"/>
      <c r="B236" s="865"/>
      <c r="C236" s="908"/>
      <c r="G236" s="865"/>
      <c r="H236" s="874"/>
      <c r="I236" s="869"/>
      <c r="J236" s="869"/>
      <c r="K236" s="869"/>
      <c r="L236" s="869"/>
      <c r="M236" s="874"/>
      <c r="O236" s="874"/>
      <c r="P236" s="874"/>
      <c r="Q236" s="874"/>
      <c r="R236" s="874"/>
      <c r="S236" s="874"/>
      <c r="T236" s="874"/>
      <c r="W236" s="874"/>
      <c r="X236" s="874"/>
      <c r="Y236" s="874"/>
      <c r="Z236" s="874"/>
      <c r="AA236" s="874"/>
      <c r="AD236" s="526"/>
      <c r="AE236" s="526"/>
      <c r="AF236" s="526"/>
      <c r="AG236" s="526"/>
      <c r="AH236" s="526"/>
      <c r="AI236" s="526"/>
      <c r="AJ236" s="526"/>
      <c r="AK236" s="526"/>
      <c r="AL236" s="526"/>
      <c r="AM236" s="526"/>
      <c r="AN236" s="526"/>
      <c r="AO236" s="526"/>
      <c r="AP236" s="526"/>
      <c r="AQ236" s="526"/>
      <c r="AR236" s="526"/>
      <c r="AS236" s="526"/>
      <c r="AT236" s="526"/>
      <c r="AU236" s="526"/>
      <c r="AV236" s="526"/>
      <c r="AW236" s="526"/>
      <c r="AX236" s="526"/>
      <c r="AY236" s="526"/>
      <c r="AZ236" s="526"/>
      <c r="BA236" s="526"/>
      <c r="BB236" s="526"/>
      <c r="BC236" s="526"/>
      <c r="BD236" s="526"/>
      <c r="BE236" s="526"/>
      <c r="BF236" s="526"/>
      <c r="BG236" s="526"/>
    </row>
    <row r="237" spans="1:59" s="830" customFormat="1" ht="17.25" customHeight="1" x14ac:dyDescent="0.25">
      <c r="A237" s="865"/>
      <c r="B237" s="865"/>
      <c r="C237" s="908"/>
      <c r="G237" s="865"/>
      <c r="H237" s="874"/>
      <c r="I237" s="869"/>
      <c r="J237" s="869"/>
      <c r="K237" s="869"/>
      <c r="L237" s="869"/>
      <c r="M237" s="874"/>
      <c r="O237" s="874"/>
      <c r="P237" s="874"/>
      <c r="Q237" s="874"/>
      <c r="R237" s="874"/>
      <c r="S237" s="874"/>
      <c r="T237" s="874"/>
      <c r="W237" s="874"/>
      <c r="X237" s="874"/>
      <c r="Y237" s="874"/>
      <c r="Z237" s="874"/>
      <c r="AA237" s="874"/>
      <c r="AD237" s="526"/>
      <c r="AE237" s="526"/>
      <c r="AF237" s="526"/>
      <c r="AG237" s="526"/>
      <c r="AH237" s="526"/>
      <c r="AI237" s="526"/>
      <c r="AJ237" s="526"/>
      <c r="AK237" s="526"/>
      <c r="AL237" s="526"/>
      <c r="AM237" s="526"/>
      <c r="AN237" s="526"/>
      <c r="AO237" s="526"/>
      <c r="AP237" s="526"/>
      <c r="AQ237" s="526"/>
      <c r="AR237" s="526"/>
      <c r="AS237" s="526"/>
      <c r="AT237" s="526"/>
      <c r="AU237" s="526"/>
      <c r="AV237" s="526"/>
      <c r="AW237" s="526"/>
      <c r="AX237" s="526"/>
      <c r="AY237" s="526"/>
      <c r="AZ237" s="526"/>
      <c r="BA237" s="526"/>
      <c r="BB237" s="526"/>
      <c r="BC237" s="526"/>
      <c r="BD237" s="526"/>
      <c r="BE237" s="526"/>
      <c r="BF237" s="526"/>
      <c r="BG237" s="526"/>
    </row>
    <row r="238" spans="1:59" s="830" customFormat="1" ht="17.25" customHeight="1" x14ac:dyDescent="0.25">
      <c r="A238" s="865"/>
      <c r="B238" s="865"/>
      <c r="C238" s="908"/>
      <c r="G238" s="865"/>
      <c r="H238" s="874"/>
      <c r="I238" s="869"/>
      <c r="J238" s="869"/>
      <c r="K238" s="869"/>
      <c r="L238" s="869"/>
      <c r="M238" s="874"/>
      <c r="O238" s="874"/>
      <c r="P238" s="874"/>
      <c r="Q238" s="874"/>
      <c r="R238" s="874"/>
      <c r="S238" s="874"/>
      <c r="T238" s="874"/>
      <c r="W238" s="874"/>
      <c r="X238" s="874"/>
      <c r="Y238" s="874"/>
      <c r="Z238" s="874"/>
      <c r="AA238" s="874"/>
      <c r="AD238" s="526"/>
      <c r="AE238" s="526"/>
      <c r="AF238" s="526"/>
      <c r="AG238" s="526"/>
      <c r="AH238" s="526"/>
      <c r="AI238" s="526"/>
      <c r="AJ238" s="526"/>
      <c r="AK238" s="526"/>
      <c r="AL238" s="526"/>
      <c r="AM238" s="526"/>
      <c r="AN238" s="526"/>
      <c r="AO238" s="526"/>
      <c r="AP238" s="526"/>
      <c r="AQ238" s="526"/>
      <c r="AR238" s="526"/>
      <c r="AS238" s="526"/>
      <c r="AT238" s="526"/>
      <c r="AU238" s="526"/>
      <c r="AV238" s="526"/>
      <c r="AW238" s="526"/>
      <c r="AX238" s="526"/>
      <c r="AY238" s="526"/>
      <c r="AZ238" s="526"/>
      <c r="BA238" s="526"/>
      <c r="BB238" s="526"/>
      <c r="BC238" s="526"/>
      <c r="BD238" s="526"/>
      <c r="BE238" s="526"/>
      <c r="BF238" s="526"/>
      <c r="BG238" s="526"/>
    </row>
    <row r="239" spans="1:59" s="830" customFormat="1" ht="17.25" customHeight="1" x14ac:dyDescent="0.25">
      <c r="A239" s="865"/>
      <c r="B239" s="865"/>
      <c r="C239" s="908"/>
      <c r="G239" s="865"/>
      <c r="H239" s="874"/>
      <c r="I239" s="869"/>
      <c r="J239" s="869"/>
      <c r="K239" s="869"/>
      <c r="L239" s="869"/>
      <c r="M239" s="874"/>
      <c r="O239" s="874"/>
      <c r="P239" s="874"/>
      <c r="Q239" s="874"/>
      <c r="R239" s="874"/>
      <c r="S239" s="874"/>
      <c r="T239" s="874"/>
      <c r="W239" s="874"/>
      <c r="X239" s="874"/>
      <c r="Y239" s="874"/>
      <c r="Z239" s="874"/>
      <c r="AA239" s="874"/>
      <c r="AD239" s="526"/>
      <c r="AE239" s="526"/>
      <c r="AF239" s="526"/>
      <c r="AG239" s="526"/>
      <c r="AH239" s="526"/>
      <c r="AI239" s="526"/>
      <c r="AJ239" s="526"/>
      <c r="AK239" s="526"/>
      <c r="AL239" s="526"/>
      <c r="AM239" s="526"/>
      <c r="AN239" s="526"/>
      <c r="AO239" s="526"/>
      <c r="AP239" s="526"/>
      <c r="AQ239" s="526"/>
      <c r="AR239" s="526"/>
      <c r="AS239" s="526"/>
      <c r="AT239" s="526"/>
      <c r="AU239" s="526"/>
      <c r="AV239" s="526"/>
      <c r="AW239" s="526"/>
      <c r="AX239" s="526"/>
      <c r="AY239" s="526"/>
      <c r="AZ239" s="526"/>
      <c r="BA239" s="526"/>
      <c r="BB239" s="526"/>
      <c r="BC239" s="526"/>
      <c r="BD239" s="526"/>
      <c r="BE239" s="526"/>
      <c r="BF239" s="526"/>
      <c r="BG239" s="526"/>
    </row>
    <row r="240" spans="1:59" s="830" customFormat="1" ht="17.25" customHeight="1" x14ac:dyDescent="0.25">
      <c r="A240" s="865"/>
      <c r="B240" s="865"/>
      <c r="C240" s="908"/>
      <c r="G240" s="865"/>
      <c r="H240" s="874"/>
      <c r="I240" s="869"/>
      <c r="J240" s="869"/>
      <c r="K240" s="869"/>
      <c r="L240" s="869"/>
      <c r="M240" s="874"/>
      <c r="O240" s="874"/>
      <c r="P240" s="874"/>
      <c r="Q240" s="874"/>
      <c r="R240" s="874"/>
      <c r="S240" s="874"/>
      <c r="T240" s="874"/>
      <c r="W240" s="874"/>
      <c r="X240" s="874"/>
      <c r="Y240" s="874"/>
      <c r="Z240" s="874"/>
      <c r="AA240" s="874"/>
      <c r="AD240" s="526"/>
      <c r="AE240" s="526"/>
      <c r="AF240" s="526"/>
      <c r="AG240" s="526"/>
      <c r="AH240" s="526"/>
      <c r="AI240" s="526"/>
      <c r="AJ240" s="526"/>
      <c r="AK240" s="526"/>
      <c r="AL240" s="526"/>
      <c r="AM240" s="526"/>
      <c r="AN240" s="526"/>
      <c r="AO240" s="526"/>
      <c r="AP240" s="526"/>
      <c r="AQ240" s="526"/>
      <c r="AR240" s="526"/>
      <c r="AS240" s="526"/>
      <c r="AT240" s="526"/>
      <c r="AU240" s="526"/>
      <c r="AV240" s="526"/>
      <c r="AW240" s="526"/>
      <c r="AX240" s="526"/>
      <c r="AY240" s="526"/>
      <c r="AZ240" s="526"/>
      <c r="BA240" s="526"/>
      <c r="BB240" s="526"/>
      <c r="BC240" s="526"/>
      <c r="BD240" s="526"/>
      <c r="BE240" s="526"/>
      <c r="BF240" s="526"/>
      <c r="BG240" s="526"/>
    </row>
    <row r="241" spans="1:59" s="830" customFormat="1" ht="17.25" customHeight="1" x14ac:dyDescent="0.25">
      <c r="A241" s="865"/>
      <c r="B241" s="865"/>
      <c r="C241" s="908"/>
      <c r="G241" s="865"/>
      <c r="H241" s="874"/>
      <c r="I241" s="869"/>
      <c r="J241" s="869"/>
      <c r="K241" s="869"/>
      <c r="L241" s="869"/>
      <c r="M241" s="874"/>
      <c r="O241" s="874"/>
      <c r="P241" s="874"/>
      <c r="Q241" s="874"/>
      <c r="R241" s="874"/>
      <c r="S241" s="874"/>
      <c r="T241" s="874"/>
      <c r="W241" s="874"/>
      <c r="X241" s="874"/>
      <c r="Y241" s="874"/>
      <c r="Z241" s="874"/>
      <c r="AA241" s="874"/>
      <c r="AD241" s="526"/>
      <c r="AE241" s="526"/>
      <c r="AF241" s="526"/>
      <c r="AG241" s="526"/>
      <c r="AH241" s="526"/>
      <c r="AI241" s="526"/>
      <c r="AJ241" s="526"/>
      <c r="AK241" s="526"/>
      <c r="AL241" s="526"/>
      <c r="AM241" s="526"/>
      <c r="AN241" s="526"/>
      <c r="AO241" s="526"/>
      <c r="AP241" s="526"/>
      <c r="AQ241" s="526"/>
      <c r="AR241" s="526"/>
      <c r="AS241" s="526"/>
      <c r="AT241" s="526"/>
      <c r="AU241" s="526"/>
      <c r="AV241" s="526"/>
      <c r="AW241" s="526"/>
      <c r="AX241" s="526"/>
      <c r="AY241" s="526"/>
      <c r="AZ241" s="526"/>
      <c r="BA241" s="526"/>
      <c r="BB241" s="526"/>
      <c r="BC241" s="526"/>
      <c r="BD241" s="526"/>
      <c r="BE241" s="526"/>
      <c r="BF241" s="526"/>
      <c r="BG241" s="526"/>
    </row>
    <row r="242" spans="1:59" s="830" customFormat="1" ht="17.25" customHeight="1" x14ac:dyDescent="0.25">
      <c r="A242" s="865"/>
      <c r="B242" s="865"/>
      <c r="C242" s="908"/>
      <c r="G242" s="865"/>
      <c r="H242" s="874"/>
      <c r="I242" s="869"/>
      <c r="J242" s="869"/>
      <c r="K242" s="869"/>
      <c r="L242" s="869"/>
      <c r="M242" s="874"/>
      <c r="O242" s="874"/>
      <c r="P242" s="874"/>
      <c r="Q242" s="874"/>
      <c r="R242" s="874"/>
      <c r="S242" s="874"/>
      <c r="T242" s="874"/>
      <c r="W242" s="874"/>
      <c r="X242" s="874"/>
      <c r="Y242" s="874"/>
      <c r="Z242" s="874"/>
      <c r="AA242" s="874"/>
      <c r="AD242" s="526"/>
      <c r="AE242" s="526"/>
      <c r="AF242" s="526"/>
      <c r="AG242" s="526"/>
      <c r="AH242" s="526"/>
      <c r="AI242" s="526"/>
      <c r="AJ242" s="526"/>
      <c r="AK242" s="526"/>
      <c r="AL242" s="526"/>
      <c r="AM242" s="526"/>
      <c r="AN242" s="526"/>
      <c r="AO242" s="526"/>
      <c r="AP242" s="526"/>
      <c r="AQ242" s="526"/>
      <c r="AR242" s="526"/>
      <c r="AS242" s="526"/>
      <c r="AT242" s="526"/>
      <c r="AU242" s="526"/>
      <c r="AV242" s="526"/>
      <c r="AW242" s="526"/>
      <c r="AX242" s="526"/>
      <c r="AY242" s="526"/>
      <c r="AZ242" s="526"/>
      <c r="BA242" s="526"/>
      <c r="BB242" s="526"/>
      <c r="BC242" s="526"/>
      <c r="BD242" s="526"/>
      <c r="BE242" s="526"/>
      <c r="BF242" s="526"/>
      <c r="BG242" s="526"/>
    </row>
    <row r="243" spans="1:59" s="830" customFormat="1" ht="17.25" customHeight="1" x14ac:dyDescent="0.25">
      <c r="A243" s="865"/>
      <c r="B243" s="865"/>
      <c r="C243" s="908"/>
      <c r="G243" s="865"/>
      <c r="H243" s="874"/>
      <c r="I243" s="869"/>
      <c r="J243" s="869"/>
      <c r="K243" s="869"/>
      <c r="L243" s="869"/>
      <c r="M243" s="874"/>
      <c r="O243" s="874"/>
      <c r="P243" s="874"/>
      <c r="Q243" s="874"/>
      <c r="R243" s="874"/>
      <c r="S243" s="874"/>
      <c r="T243" s="874"/>
      <c r="W243" s="874"/>
      <c r="X243" s="874"/>
      <c r="Y243" s="874"/>
      <c r="Z243" s="874"/>
      <c r="AA243" s="874"/>
      <c r="AD243" s="526"/>
      <c r="AE243" s="526"/>
      <c r="AF243" s="526"/>
      <c r="AG243" s="526"/>
      <c r="AH243" s="526"/>
      <c r="AI243" s="526"/>
      <c r="AJ243" s="526"/>
      <c r="AK243" s="526"/>
      <c r="AL243" s="526"/>
      <c r="AM243" s="526"/>
      <c r="AN243" s="526"/>
      <c r="AO243" s="526"/>
      <c r="AP243" s="526"/>
      <c r="AQ243" s="526"/>
      <c r="AR243" s="526"/>
      <c r="AS243" s="526"/>
      <c r="AT243" s="526"/>
      <c r="AU243" s="526"/>
      <c r="AV243" s="526"/>
      <c r="AW243" s="526"/>
      <c r="AX243" s="526"/>
      <c r="AY243" s="526"/>
      <c r="AZ243" s="526"/>
      <c r="BA243" s="526"/>
      <c r="BB243" s="526"/>
      <c r="BC243" s="526"/>
      <c r="BD243" s="526"/>
      <c r="BE243" s="526"/>
      <c r="BF243" s="526"/>
      <c r="BG243" s="526"/>
    </row>
    <row r="244" spans="1:59" s="830" customFormat="1" ht="17.25" customHeight="1" x14ac:dyDescent="0.25">
      <c r="A244" s="865"/>
      <c r="B244" s="865"/>
      <c r="C244" s="908"/>
      <c r="G244" s="865"/>
      <c r="H244" s="874"/>
      <c r="I244" s="869"/>
      <c r="J244" s="869"/>
      <c r="K244" s="869"/>
      <c r="L244" s="869"/>
      <c r="M244" s="874"/>
      <c r="O244" s="874"/>
      <c r="P244" s="874"/>
      <c r="Q244" s="874"/>
      <c r="R244" s="874"/>
      <c r="S244" s="874"/>
      <c r="T244" s="874"/>
      <c r="W244" s="874"/>
      <c r="X244" s="874"/>
      <c r="Y244" s="874"/>
      <c r="Z244" s="874"/>
      <c r="AA244" s="874"/>
      <c r="AD244" s="526"/>
      <c r="AE244" s="526"/>
      <c r="AF244" s="526"/>
      <c r="AG244" s="526"/>
      <c r="AH244" s="526"/>
      <c r="AI244" s="526"/>
      <c r="AJ244" s="526"/>
      <c r="AK244" s="526"/>
      <c r="AL244" s="526"/>
      <c r="AM244" s="526"/>
      <c r="AN244" s="526"/>
      <c r="AO244" s="526"/>
      <c r="AP244" s="526"/>
      <c r="AQ244" s="526"/>
      <c r="AR244" s="526"/>
      <c r="AS244" s="526"/>
      <c r="AT244" s="526"/>
      <c r="AU244" s="526"/>
      <c r="AV244" s="526"/>
      <c r="AW244" s="526"/>
      <c r="AX244" s="526"/>
      <c r="AY244" s="526"/>
      <c r="AZ244" s="526"/>
      <c r="BA244" s="526"/>
      <c r="BB244" s="526"/>
      <c r="BC244" s="526"/>
      <c r="BD244" s="526"/>
      <c r="BE244" s="526"/>
      <c r="BF244" s="526"/>
      <c r="BG244" s="526"/>
    </row>
    <row r="245" spans="1:59" s="830" customFormat="1" ht="17.25" customHeight="1" x14ac:dyDescent="0.25">
      <c r="A245" s="865"/>
      <c r="B245" s="865"/>
      <c r="C245" s="908"/>
      <c r="G245" s="865"/>
      <c r="H245" s="874"/>
      <c r="I245" s="869"/>
      <c r="J245" s="869"/>
      <c r="K245" s="869"/>
      <c r="L245" s="869"/>
      <c r="M245" s="874"/>
      <c r="O245" s="874"/>
      <c r="P245" s="874"/>
      <c r="Q245" s="874"/>
      <c r="R245" s="874"/>
      <c r="S245" s="874"/>
      <c r="T245" s="874"/>
      <c r="W245" s="874"/>
      <c r="X245" s="874"/>
      <c r="Y245" s="874"/>
      <c r="Z245" s="874"/>
      <c r="AA245" s="874"/>
      <c r="AD245" s="526"/>
      <c r="AE245" s="526"/>
      <c r="AF245" s="526"/>
      <c r="AG245" s="526"/>
      <c r="AH245" s="526"/>
      <c r="AI245" s="526"/>
      <c r="AJ245" s="526"/>
      <c r="AK245" s="526"/>
      <c r="AL245" s="526"/>
      <c r="AM245" s="526"/>
      <c r="AN245" s="526"/>
      <c r="AO245" s="526"/>
      <c r="AP245" s="526"/>
      <c r="AQ245" s="526"/>
      <c r="AR245" s="526"/>
      <c r="AS245" s="526"/>
      <c r="AT245" s="526"/>
      <c r="AU245" s="526"/>
      <c r="AV245" s="526"/>
      <c r="AW245" s="526"/>
      <c r="AX245" s="526"/>
      <c r="AY245" s="526"/>
      <c r="AZ245" s="526"/>
      <c r="BA245" s="526"/>
      <c r="BB245" s="526"/>
      <c r="BC245" s="526"/>
      <c r="BD245" s="526"/>
      <c r="BE245" s="526"/>
      <c r="BF245" s="526"/>
      <c r="BG245" s="526"/>
    </row>
    <row r="246" spans="1:59" s="830" customFormat="1" ht="17.25" customHeight="1" x14ac:dyDescent="0.25">
      <c r="A246" s="865"/>
      <c r="B246" s="865"/>
      <c r="C246" s="908"/>
      <c r="G246" s="865"/>
      <c r="H246" s="874"/>
      <c r="I246" s="869"/>
      <c r="J246" s="869"/>
      <c r="K246" s="869"/>
      <c r="L246" s="869"/>
      <c r="M246" s="874"/>
      <c r="O246" s="874"/>
      <c r="P246" s="874"/>
      <c r="Q246" s="874"/>
      <c r="R246" s="874"/>
      <c r="S246" s="874"/>
      <c r="T246" s="874"/>
      <c r="W246" s="874"/>
      <c r="X246" s="874"/>
      <c r="Y246" s="874"/>
      <c r="Z246" s="874"/>
      <c r="AA246" s="874"/>
      <c r="AD246" s="526"/>
      <c r="AE246" s="526"/>
      <c r="AF246" s="526"/>
      <c r="AG246" s="526"/>
      <c r="AH246" s="526"/>
      <c r="AI246" s="526"/>
      <c r="AJ246" s="526"/>
      <c r="AK246" s="526"/>
      <c r="AL246" s="526"/>
      <c r="AM246" s="526"/>
      <c r="AN246" s="526"/>
      <c r="AO246" s="526"/>
      <c r="AP246" s="526"/>
      <c r="AQ246" s="526"/>
      <c r="AR246" s="526"/>
      <c r="AS246" s="526"/>
      <c r="AT246" s="526"/>
      <c r="AU246" s="526"/>
      <c r="AV246" s="526"/>
      <c r="AW246" s="526"/>
      <c r="AX246" s="526"/>
      <c r="AY246" s="526"/>
      <c r="AZ246" s="526"/>
      <c r="BA246" s="526"/>
      <c r="BB246" s="526"/>
      <c r="BC246" s="526"/>
      <c r="BD246" s="526"/>
      <c r="BE246" s="526"/>
      <c r="BF246" s="526"/>
      <c r="BG246" s="526"/>
    </row>
    <row r="247" spans="1:59" s="830" customFormat="1" ht="17.25" customHeight="1" x14ac:dyDescent="0.25">
      <c r="A247" s="865"/>
      <c r="B247" s="865"/>
      <c r="C247" s="908"/>
      <c r="G247" s="865"/>
      <c r="H247" s="874"/>
      <c r="I247" s="869"/>
      <c r="J247" s="869"/>
      <c r="K247" s="869"/>
      <c r="L247" s="869"/>
      <c r="M247" s="874"/>
      <c r="O247" s="874"/>
      <c r="P247" s="874"/>
      <c r="Q247" s="874"/>
      <c r="R247" s="874"/>
      <c r="S247" s="874"/>
      <c r="T247" s="874"/>
      <c r="W247" s="874"/>
      <c r="X247" s="874"/>
      <c r="Y247" s="874"/>
      <c r="Z247" s="874"/>
      <c r="AA247" s="874"/>
      <c r="AD247" s="526"/>
      <c r="AE247" s="526"/>
      <c r="AF247" s="526"/>
      <c r="AG247" s="526"/>
      <c r="AH247" s="526"/>
      <c r="AI247" s="526"/>
      <c r="AJ247" s="526"/>
      <c r="AK247" s="526"/>
      <c r="AL247" s="526"/>
      <c r="AM247" s="526"/>
      <c r="AN247" s="526"/>
      <c r="AO247" s="526"/>
      <c r="AP247" s="526"/>
      <c r="AQ247" s="526"/>
      <c r="AR247" s="526"/>
      <c r="AS247" s="526"/>
      <c r="AT247" s="526"/>
      <c r="AU247" s="526"/>
      <c r="AV247" s="526"/>
      <c r="AW247" s="526"/>
      <c r="AX247" s="526"/>
      <c r="AY247" s="526"/>
      <c r="AZ247" s="526"/>
      <c r="BA247" s="526"/>
      <c r="BB247" s="526"/>
      <c r="BC247" s="526"/>
      <c r="BD247" s="526"/>
      <c r="BE247" s="526"/>
      <c r="BF247" s="526"/>
      <c r="BG247" s="526"/>
    </row>
    <row r="248" spans="1:59" s="830" customFormat="1" ht="17.25" customHeight="1" x14ac:dyDescent="0.25">
      <c r="A248" s="865"/>
      <c r="B248" s="865"/>
      <c r="C248" s="908"/>
      <c r="G248" s="865"/>
      <c r="H248" s="874"/>
      <c r="I248" s="869"/>
      <c r="J248" s="869"/>
      <c r="K248" s="869"/>
      <c r="L248" s="869"/>
      <c r="M248" s="874"/>
      <c r="O248" s="874"/>
      <c r="P248" s="874"/>
      <c r="Q248" s="874"/>
      <c r="R248" s="874"/>
      <c r="S248" s="874"/>
      <c r="T248" s="874"/>
      <c r="W248" s="874"/>
      <c r="X248" s="874"/>
      <c r="Y248" s="874"/>
      <c r="Z248" s="874"/>
      <c r="AA248" s="874"/>
      <c r="AD248" s="526"/>
      <c r="AE248" s="526"/>
      <c r="AF248" s="526"/>
      <c r="AG248" s="526"/>
      <c r="AH248" s="526"/>
      <c r="AI248" s="526"/>
      <c r="AJ248" s="526"/>
      <c r="AK248" s="526"/>
      <c r="AL248" s="526"/>
      <c r="AM248" s="526"/>
      <c r="AN248" s="526"/>
      <c r="AO248" s="526"/>
      <c r="AP248" s="526"/>
      <c r="AQ248" s="526"/>
      <c r="AR248" s="526"/>
      <c r="AS248" s="526"/>
      <c r="AT248" s="526"/>
      <c r="AU248" s="526"/>
      <c r="AV248" s="526"/>
      <c r="AW248" s="526"/>
      <c r="AX248" s="526"/>
      <c r="AY248" s="526"/>
      <c r="AZ248" s="526"/>
      <c r="BA248" s="526"/>
      <c r="BB248" s="526"/>
      <c r="BC248" s="526"/>
      <c r="BD248" s="526"/>
      <c r="BE248" s="526"/>
      <c r="BF248" s="526"/>
      <c r="BG248" s="526"/>
    </row>
    <row r="249" spans="1:59" s="830" customFormat="1" ht="17.25" customHeight="1" x14ac:dyDescent="0.25">
      <c r="A249" s="865"/>
      <c r="B249" s="865"/>
      <c r="C249" s="908"/>
      <c r="G249" s="865"/>
      <c r="H249" s="874"/>
      <c r="I249" s="869"/>
      <c r="J249" s="869"/>
      <c r="K249" s="869"/>
      <c r="L249" s="869"/>
      <c r="M249" s="874"/>
      <c r="O249" s="874"/>
      <c r="P249" s="874"/>
      <c r="Q249" s="874"/>
      <c r="R249" s="874"/>
      <c r="S249" s="874"/>
      <c r="T249" s="874"/>
      <c r="W249" s="874"/>
      <c r="X249" s="874"/>
      <c r="Y249" s="874"/>
      <c r="Z249" s="874"/>
      <c r="AA249" s="874"/>
      <c r="AD249" s="526"/>
      <c r="AE249" s="526"/>
      <c r="AF249" s="526"/>
      <c r="AG249" s="526"/>
      <c r="AH249" s="526"/>
      <c r="AI249" s="526"/>
      <c r="AJ249" s="526"/>
      <c r="AK249" s="526"/>
      <c r="AL249" s="526"/>
      <c r="AM249" s="526"/>
      <c r="AN249" s="526"/>
      <c r="AO249" s="526"/>
      <c r="AP249" s="526"/>
      <c r="AQ249" s="526"/>
      <c r="AR249" s="526"/>
      <c r="AS249" s="526"/>
      <c r="AT249" s="526"/>
      <c r="AU249" s="526"/>
      <c r="AV249" s="526"/>
      <c r="AW249" s="526"/>
      <c r="AX249" s="526"/>
      <c r="AY249" s="526"/>
      <c r="AZ249" s="526"/>
      <c r="BA249" s="526"/>
      <c r="BB249" s="526"/>
      <c r="BC249" s="526"/>
      <c r="BD249" s="526"/>
      <c r="BE249" s="526"/>
      <c r="BF249" s="526"/>
      <c r="BG249" s="526"/>
    </row>
    <row r="250" spans="1:59" s="830" customFormat="1" ht="17.25" customHeight="1" x14ac:dyDescent="0.25">
      <c r="A250" s="865"/>
      <c r="B250" s="865"/>
      <c r="C250" s="908"/>
      <c r="G250" s="865"/>
      <c r="H250" s="874"/>
      <c r="I250" s="869"/>
      <c r="J250" s="869"/>
      <c r="K250" s="869"/>
      <c r="L250" s="869"/>
      <c r="M250" s="874"/>
      <c r="O250" s="874"/>
      <c r="P250" s="874"/>
      <c r="Q250" s="874"/>
      <c r="R250" s="874"/>
      <c r="S250" s="874"/>
      <c r="T250" s="874"/>
      <c r="W250" s="874"/>
      <c r="X250" s="874"/>
      <c r="Y250" s="874"/>
      <c r="Z250" s="874"/>
      <c r="AA250" s="874"/>
      <c r="AD250" s="526"/>
      <c r="AE250" s="526"/>
      <c r="AF250" s="526"/>
      <c r="AG250" s="526"/>
      <c r="AH250" s="526"/>
      <c r="AI250" s="526"/>
      <c r="AJ250" s="526"/>
      <c r="AK250" s="526"/>
      <c r="AL250" s="526"/>
      <c r="AM250" s="526"/>
      <c r="AN250" s="526"/>
      <c r="AO250" s="526"/>
      <c r="AP250" s="526"/>
      <c r="AQ250" s="526"/>
      <c r="AR250" s="526"/>
      <c r="AS250" s="526"/>
      <c r="AT250" s="526"/>
      <c r="AU250" s="526"/>
      <c r="AV250" s="526"/>
      <c r="AW250" s="526"/>
      <c r="AX250" s="526"/>
      <c r="AY250" s="526"/>
      <c r="AZ250" s="526"/>
      <c r="BA250" s="526"/>
      <c r="BB250" s="526"/>
      <c r="BC250" s="526"/>
      <c r="BD250" s="526"/>
      <c r="BE250" s="526"/>
      <c r="BF250" s="526"/>
      <c r="BG250" s="526"/>
    </row>
    <row r="251" spans="1:59" s="830" customFormat="1" ht="17.25" customHeight="1" x14ac:dyDescent="0.25">
      <c r="A251" s="865"/>
      <c r="B251" s="865"/>
      <c r="C251" s="908"/>
      <c r="G251" s="865"/>
      <c r="H251" s="874"/>
      <c r="I251" s="869"/>
      <c r="J251" s="869"/>
      <c r="K251" s="869"/>
      <c r="L251" s="869"/>
      <c r="M251" s="874"/>
      <c r="O251" s="874"/>
      <c r="P251" s="874"/>
      <c r="Q251" s="874"/>
      <c r="R251" s="874"/>
      <c r="S251" s="874"/>
      <c r="T251" s="874"/>
      <c r="W251" s="874"/>
      <c r="X251" s="874"/>
      <c r="Y251" s="874"/>
      <c r="Z251" s="874"/>
      <c r="AA251" s="874"/>
      <c r="AD251" s="526"/>
      <c r="AE251" s="526"/>
      <c r="AF251" s="526"/>
      <c r="AG251" s="526"/>
      <c r="AH251" s="526"/>
      <c r="AI251" s="526"/>
      <c r="AJ251" s="526"/>
      <c r="AK251" s="526"/>
      <c r="AL251" s="526"/>
      <c r="AM251" s="526"/>
      <c r="AN251" s="526"/>
      <c r="AO251" s="526"/>
      <c r="AP251" s="526"/>
      <c r="AQ251" s="526"/>
      <c r="AR251" s="526"/>
      <c r="AS251" s="526"/>
      <c r="AT251" s="526"/>
      <c r="AU251" s="526"/>
      <c r="AV251" s="526"/>
      <c r="AW251" s="526"/>
      <c r="AX251" s="526"/>
      <c r="AY251" s="526"/>
      <c r="AZ251" s="526"/>
      <c r="BA251" s="526"/>
      <c r="BB251" s="526"/>
      <c r="BC251" s="526"/>
      <c r="BD251" s="526"/>
      <c r="BE251" s="526"/>
      <c r="BF251" s="526"/>
      <c r="BG251" s="526"/>
    </row>
    <row r="252" spans="1:59" s="830" customFormat="1" ht="17.25" customHeight="1" x14ac:dyDescent="0.25">
      <c r="A252" s="865"/>
      <c r="B252" s="865"/>
      <c r="C252" s="908"/>
      <c r="G252" s="865"/>
      <c r="H252" s="874"/>
      <c r="I252" s="869"/>
      <c r="J252" s="869"/>
      <c r="K252" s="869"/>
      <c r="L252" s="869"/>
      <c r="M252" s="874"/>
      <c r="O252" s="874"/>
      <c r="P252" s="874"/>
      <c r="Q252" s="874"/>
      <c r="R252" s="874"/>
      <c r="S252" s="874"/>
      <c r="T252" s="874"/>
      <c r="W252" s="874"/>
      <c r="X252" s="874"/>
      <c r="Y252" s="874"/>
      <c r="Z252" s="874"/>
      <c r="AA252" s="874"/>
      <c r="AD252" s="526"/>
      <c r="AE252" s="526"/>
      <c r="AF252" s="526"/>
      <c r="AG252" s="526"/>
      <c r="AH252" s="526"/>
      <c r="AI252" s="526"/>
      <c r="AJ252" s="526"/>
      <c r="AK252" s="526"/>
      <c r="AL252" s="526"/>
      <c r="AM252" s="526"/>
      <c r="AN252" s="526"/>
      <c r="AO252" s="526"/>
      <c r="AP252" s="526"/>
      <c r="AQ252" s="526"/>
      <c r="AR252" s="526"/>
      <c r="AS252" s="526"/>
      <c r="AT252" s="526"/>
      <c r="AU252" s="526"/>
      <c r="AV252" s="526"/>
      <c r="AW252" s="526"/>
      <c r="AX252" s="526"/>
      <c r="AY252" s="526"/>
      <c r="AZ252" s="526"/>
      <c r="BA252" s="526"/>
      <c r="BB252" s="526"/>
      <c r="BC252" s="526"/>
      <c r="BD252" s="526"/>
      <c r="BE252" s="526"/>
      <c r="BF252" s="526"/>
      <c r="BG252" s="526"/>
    </row>
    <row r="253" spans="1:59" s="830" customFormat="1" ht="17.25" customHeight="1" x14ac:dyDescent="0.25">
      <c r="A253" s="865"/>
      <c r="B253" s="865"/>
      <c r="C253" s="908"/>
      <c r="G253" s="865"/>
      <c r="H253" s="874"/>
      <c r="I253" s="869"/>
      <c r="J253" s="869"/>
      <c r="K253" s="869"/>
      <c r="L253" s="869"/>
      <c r="M253" s="874"/>
      <c r="O253" s="874"/>
      <c r="P253" s="874"/>
      <c r="Q253" s="874"/>
      <c r="R253" s="874"/>
      <c r="S253" s="874"/>
      <c r="T253" s="874"/>
      <c r="W253" s="874"/>
      <c r="X253" s="874"/>
      <c r="Y253" s="874"/>
      <c r="Z253" s="874"/>
      <c r="AA253" s="874"/>
      <c r="AD253" s="526"/>
      <c r="AE253" s="526"/>
      <c r="AF253" s="526"/>
      <c r="AG253" s="526"/>
      <c r="AH253" s="526"/>
      <c r="AI253" s="526"/>
      <c r="AJ253" s="526"/>
      <c r="AK253" s="526"/>
      <c r="AL253" s="526"/>
      <c r="AM253" s="526"/>
      <c r="AN253" s="526"/>
      <c r="AO253" s="526"/>
      <c r="AP253" s="526"/>
      <c r="AQ253" s="526"/>
      <c r="AR253" s="526"/>
      <c r="AS253" s="526"/>
      <c r="AT253" s="526"/>
      <c r="AU253" s="526"/>
      <c r="AV253" s="526"/>
      <c r="AW253" s="526"/>
      <c r="AX253" s="526"/>
      <c r="AY253" s="526"/>
      <c r="AZ253" s="526"/>
      <c r="BA253" s="526"/>
      <c r="BB253" s="526"/>
      <c r="BC253" s="526"/>
      <c r="BD253" s="526"/>
      <c r="BE253" s="526"/>
      <c r="BF253" s="526"/>
      <c r="BG253" s="526"/>
    </row>
    <row r="254" spans="1:59" s="830" customFormat="1" ht="17.25" customHeight="1" x14ac:dyDescent="0.25">
      <c r="A254" s="865"/>
      <c r="B254" s="865"/>
      <c r="C254" s="908"/>
      <c r="G254" s="865"/>
      <c r="H254" s="874"/>
      <c r="I254" s="869"/>
      <c r="J254" s="869"/>
      <c r="K254" s="869"/>
      <c r="L254" s="869"/>
      <c r="M254" s="874"/>
      <c r="O254" s="874"/>
      <c r="P254" s="874"/>
      <c r="Q254" s="874"/>
      <c r="R254" s="874"/>
      <c r="S254" s="874"/>
      <c r="T254" s="874"/>
      <c r="W254" s="874"/>
      <c r="X254" s="874"/>
      <c r="Y254" s="874"/>
      <c r="Z254" s="874"/>
      <c r="AA254" s="874"/>
      <c r="AD254" s="526"/>
      <c r="AE254" s="526"/>
      <c r="AF254" s="526"/>
      <c r="AG254" s="526"/>
      <c r="AH254" s="526"/>
      <c r="AI254" s="526"/>
      <c r="AJ254" s="526"/>
      <c r="AK254" s="526"/>
      <c r="AL254" s="526"/>
      <c r="AM254" s="526"/>
      <c r="AN254" s="526"/>
      <c r="AO254" s="526"/>
      <c r="AP254" s="526"/>
      <c r="AQ254" s="526"/>
      <c r="AR254" s="526"/>
      <c r="AS254" s="526"/>
      <c r="AT254" s="526"/>
      <c r="AU254" s="526"/>
      <c r="AV254" s="526"/>
      <c r="AW254" s="526"/>
      <c r="AX254" s="526"/>
      <c r="AY254" s="526"/>
      <c r="AZ254" s="526"/>
      <c r="BA254" s="526"/>
      <c r="BB254" s="526"/>
      <c r="BC254" s="526"/>
      <c r="BD254" s="526"/>
      <c r="BE254" s="526"/>
      <c r="BF254" s="526"/>
      <c r="BG254" s="526"/>
    </row>
    <row r="255" spans="1:59" s="830" customFormat="1" ht="17.25" customHeight="1" x14ac:dyDescent="0.25">
      <c r="A255" s="865"/>
      <c r="B255" s="865"/>
      <c r="C255" s="908"/>
      <c r="G255" s="865"/>
      <c r="H255" s="874"/>
      <c r="I255" s="869"/>
      <c r="J255" s="869"/>
      <c r="K255" s="869"/>
      <c r="L255" s="869"/>
      <c r="M255" s="874"/>
      <c r="O255" s="874"/>
      <c r="P255" s="874"/>
      <c r="Q255" s="874"/>
      <c r="R255" s="874"/>
      <c r="S255" s="874"/>
      <c r="T255" s="874"/>
      <c r="W255" s="874"/>
      <c r="X255" s="874"/>
      <c r="Y255" s="874"/>
      <c r="Z255" s="874"/>
      <c r="AA255" s="874"/>
      <c r="AD255" s="526"/>
      <c r="AE255" s="526"/>
      <c r="AF255" s="526"/>
      <c r="AG255" s="526"/>
      <c r="AH255" s="526"/>
      <c r="AI255" s="526"/>
      <c r="AJ255" s="526"/>
      <c r="AK255" s="526"/>
      <c r="AL255" s="526"/>
      <c r="AM255" s="526"/>
      <c r="AN255" s="526"/>
      <c r="AO255" s="526"/>
      <c r="AP255" s="526"/>
      <c r="AQ255" s="526"/>
      <c r="AR255" s="526"/>
      <c r="AS255" s="526"/>
      <c r="AT255" s="526"/>
      <c r="AU255" s="526"/>
      <c r="AV255" s="526"/>
      <c r="AW255" s="526"/>
      <c r="AX255" s="526"/>
      <c r="AY255" s="526"/>
      <c r="AZ255" s="526"/>
      <c r="BA255" s="526"/>
      <c r="BB255" s="526"/>
      <c r="BC255" s="526"/>
      <c r="BD255" s="526"/>
      <c r="BE255" s="526"/>
      <c r="BF255" s="526"/>
      <c r="BG255" s="526"/>
    </row>
    <row r="256" spans="1:59" s="830" customFormat="1" ht="17.25" customHeight="1" x14ac:dyDescent="0.25">
      <c r="A256" s="865"/>
      <c r="B256" s="865"/>
      <c r="C256" s="908"/>
      <c r="G256" s="865"/>
      <c r="H256" s="874"/>
      <c r="I256" s="869"/>
      <c r="J256" s="869"/>
      <c r="K256" s="869"/>
      <c r="L256" s="869"/>
      <c r="M256" s="874"/>
      <c r="O256" s="874"/>
      <c r="P256" s="874"/>
      <c r="Q256" s="874"/>
      <c r="R256" s="874"/>
      <c r="S256" s="874"/>
      <c r="T256" s="874"/>
      <c r="W256" s="874"/>
      <c r="X256" s="874"/>
      <c r="Y256" s="874"/>
      <c r="Z256" s="874"/>
      <c r="AA256" s="874"/>
      <c r="AD256" s="526"/>
      <c r="AE256" s="526"/>
      <c r="AF256" s="526"/>
      <c r="AG256" s="526"/>
      <c r="AH256" s="526"/>
      <c r="AI256" s="526"/>
      <c r="AJ256" s="526"/>
      <c r="AK256" s="526"/>
      <c r="AL256" s="526"/>
      <c r="AM256" s="526"/>
      <c r="AN256" s="526"/>
      <c r="AO256" s="526"/>
      <c r="AP256" s="526"/>
      <c r="AQ256" s="526"/>
      <c r="AR256" s="526"/>
      <c r="AS256" s="526"/>
      <c r="AT256" s="526"/>
      <c r="AU256" s="526"/>
      <c r="AV256" s="526"/>
      <c r="AW256" s="526"/>
      <c r="AX256" s="526"/>
      <c r="AY256" s="526"/>
      <c r="AZ256" s="526"/>
      <c r="BA256" s="526"/>
      <c r="BB256" s="526"/>
      <c r="BC256" s="526"/>
      <c r="BD256" s="526"/>
      <c r="BE256" s="526"/>
      <c r="BF256" s="526"/>
      <c r="BG256" s="526"/>
    </row>
    <row r="257" spans="1:59" s="830" customFormat="1" ht="17.25" customHeight="1" x14ac:dyDescent="0.25">
      <c r="A257" s="865"/>
      <c r="B257" s="865"/>
      <c r="C257" s="908"/>
      <c r="G257" s="865"/>
      <c r="H257" s="874"/>
      <c r="I257" s="869"/>
      <c r="J257" s="869"/>
      <c r="K257" s="869"/>
      <c r="L257" s="869"/>
      <c r="M257" s="874"/>
      <c r="O257" s="874"/>
      <c r="P257" s="874"/>
      <c r="Q257" s="874"/>
      <c r="R257" s="874"/>
      <c r="S257" s="874"/>
      <c r="T257" s="874"/>
      <c r="W257" s="874"/>
      <c r="X257" s="874"/>
      <c r="Y257" s="874"/>
      <c r="Z257" s="874"/>
      <c r="AA257" s="874"/>
      <c r="AD257" s="526"/>
      <c r="AE257" s="526"/>
      <c r="AF257" s="526"/>
      <c r="AG257" s="526"/>
      <c r="AH257" s="526"/>
      <c r="AI257" s="526"/>
      <c r="AJ257" s="526"/>
      <c r="AK257" s="526"/>
      <c r="AL257" s="526"/>
      <c r="AM257" s="526"/>
      <c r="AN257" s="526"/>
      <c r="AO257" s="526"/>
      <c r="AP257" s="526"/>
      <c r="AQ257" s="526"/>
      <c r="AR257" s="526"/>
      <c r="AS257" s="526"/>
      <c r="AT257" s="526"/>
      <c r="AU257" s="526"/>
      <c r="AV257" s="526"/>
      <c r="AW257" s="526"/>
      <c r="AX257" s="526"/>
      <c r="AY257" s="526"/>
      <c r="AZ257" s="526"/>
      <c r="BA257" s="526"/>
      <c r="BB257" s="526"/>
      <c r="BC257" s="526"/>
      <c r="BD257" s="526"/>
      <c r="BE257" s="526"/>
      <c r="BF257" s="526"/>
      <c r="BG257" s="526"/>
    </row>
    <row r="258" spans="1:59" s="830" customFormat="1" ht="17.25" customHeight="1" x14ac:dyDescent="0.25">
      <c r="A258" s="865"/>
      <c r="B258" s="865"/>
      <c r="C258" s="908"/>
      <c r="G258" s="865"/>
      <c r="H258" s="874"/>
      <c r="I258" s="869"/>
      <c r="J258" s="869"/>
      <c r="K258" s="869"/>
      <c r="L258" s="869"/>
      <c r="M258" s="874"/>
      <c r="O258" s="874"/>
      <c r="P258" s="874"/>
      <c r="Q258" s="874"/>
      <c r="R258" s="874"/>
      <c r="S258" s="874"/>
      <c r="T258" s="874"/>
      <c r="W258" s="874"/>
      <c r="X258" s="874"/>
      <c r="Y258" s="874"/>
      <c r="Z258" s="874"/>
      <c r="AA258" s="874"/>
      <c r="AD258" s="526"/>
      <c r="AE258" s="526"/>
      <c r="AF258" s="526"/>
      <c r="AG258" s="526"/>
      <c r="AH258" s="526"/>
      <c r="AI258" s="526"/>
      <c r="AJ258" s="526"/>
      <c r="AK258" s="526"/>
      <c r="AL258" s="526"/>
      <c r="AM258" s="526"/>
      <c r="AN258" s="526"/>
      <c r="AO258" s="526"/>
      <c r="AP258" s="526"/>
      <c r="AQ258" s="526"/>
      <c r="AR258" s="526"/>
      <c r="AS258" s="526"/>
      <c r="AT258" s="526"/>
      <c r="AU258" s="526"/>
      <c r="AV258" s="526"/>
      <c r="AW258" s="526"/>
      <c r="AX258" s="526"/>
      <c r="AY258" s="526"/>
      <c r="AZ258" s="526"/>
      <c r="BA258" s="526"/>
      <c r="BB258" s="526"/>
      <c r="BC258" s="526"/>
      <c r="BD258" s="526"/>
      <c r="BE258" s="526"/>
      <c r="BF258" s="526"/>
      <c r="BG258" s="526"/>
    </row>
    <row r="259" spans="1:59" s="830" customFormat="1" ht="17.25" customHeight="1" x14ac:dyDescent="0.25">
      <c r="A259" s="865"/>
      <c r="B259" s="865"/>
      <c r="C259" s="908"/>
      <c r="G259" s="865"/>
      <c r="H259" s="874"/>
      <c r="I259" s="869"/>
      <c r="J259" s="869"/>
      <c r="K259" s="869"/>
      <c r="L259" s="869"/>
      <c r="M259" s="874"/>
      <c r="O259" s="874"/>
      <c r="P259" s="874"/>
      <c r="Q259" s="874"/>
      <c r="R259" s="874"/>
      <c r="S259" s="874"/>
      <c r="T259" s="874"/>
      <c r="W259" s="874"/>
      <c r="X259" s="874"/>
      <c r="Y259" s="874"/>
      <c r="Z259" s="874"/>
      <c r="AA259" s="874"/>
      <c r="AD259" s="526"/>
      <c r="AE259" s="526"/>
      <c r="AF259" s="526"/>
      <c r="AG259" s="526"/>
      <c r="AH259" s="526"/>
      <c r="AI259" s="526"/>
      <c r="AJ259" s="526"/>
      <c r="AK259" s="526"/>
      <c r="AL259" s="526"/>
      <c r="AM259" s="526"/>
      <c r="AN259" s="526"/>
      <c r="AO259" s="526"/>
      <c r="AP259" s="526"/>
      <c r="AQ259" s="526"/>
      <c r="AR259" s="526"/>
      <c r="AS259" s="526"/>
      <c r="AT259" s="526"/>
      <c r="AU259" s="526"/>
      <c r="AV259" s="526"/>
      <c r="AW259" s="526"/>
      <c r="AX259" s="526"/>
      <c r="AY259" s="526"/>
      <c r="AZ259" s="526"/>
      <c r="BA259" s="526"/>
      <c r="BB259" s="526"/>
      <c r="BC259" s="526"/>
      <c r="BD259" s="526"/>
      <c r="BE259" s="526"/>
      <c r="BF259" s="526"/>
      <c r="BG259" s="526"/>
    </row>
    <row r="260" spans="1:59" s="830" customFormat="1" ht="17.25" customHeight="1" x14ac:dyDescent="0.25">
      <c r="A260" s="865"/>
      <c r="B260" s="865"/>
      <c r="C260" s="908"/>
      <c r="G260" s="865"/>
      <c r="H260" s="874"/>
      <c r="I260" s="869"/>
      <c r="J260" s="869"/>
      <c r="K260" s="869"/>
      <c r="L260" s="869"/>
      <c r="M260" s="874"/>
      <c r="O260" s="874"/>
      <c r="P260" s="874"/>
      <c r="Q260" s="874"/>
      <c r="R260" s="874"/>
      <c r="S260" s="874"/>
      <c r="T260" s="874"/>
      <c r="W260" s="874"/>
      <c r="X260" s="874"/>
      <c r="Y260" s="874"/>
      <c r="Z260" s="874"/>
      <c r="AA260" s="874"/>
      <c r="AD260" s="526"/>
      <c r="AE260" s="526"/>
      <c r="AF260" s="526"/>
      <c r="AG260" s="526"/>
      <c r="AH260" s="526"/>
      <c r="AI260" s="526"/>
      <c r="AJ260" s="526"/>
      <c r="AK260" s="526"/>
      <c r="AL260" s="526"/>
      <c r="AM260" s="526"/>
      <c r="AN260" s="526"/>
      <c r="AO260" s="526"/>
      <c r="AP260" s="526"/>
      <c r="AQ260" s="526"/>
      <c r="AR260" s="526"/>
      <c r="AS260" s="526"/>
      <c r="AT260" s="526"/>
      <c r="AU260" s="526"/>
      <c r="AV260" s="526"/>
      <c r="AW260" s="526"/>
      <c r="AX260" s="526"/>
      <c r="AY260" s="526"/>
      <c r="AZ260" s="526"/>
      <c r="BA260" s="526"/>
      <c r="BB260" s="526"/>
      <c r="BC260" s="526"/>
      <c r="BD260" s="526"/>
      <c r="BE260" s="526"/>
      <c r="BF260" s="526"/>
      <c r="BG260" s="526"/>
    </row>
    <row r="261" spans="1:59" s="830" customFormat="1" ht="17.25" customHeight="1" x14ac:dyDescent="0.25">
      <c r="A261" s="865"/>
      <c r="B261" s="865"/>
      <c r="C261" s="908"/>
      <c r="G261" s="865"/>
      <c r="H261" s="874"/>
      <c r="I261" s="869"/>
      <c r="J261" s="869"/>
      <c r="K261" s="869"/>
      <c r="L261" s="869"/>
      <c r="M261" s="874"/>
      <c r="O261" s="874"/>
      <c r="P261" s="874"/>
      <c r="Q261" s="874"/>
      <c r="R261" s="874"/>
      <c r="S261" s="874"/>
      <c r="T261" s="874"/>
      <c r="W261" s="874"/>
      <c r="X261" s="874"/>
      <c r="Y261" s="874"/>
      <c r="Z261" s="874"/>
      <c r="AA261" s="874"/>
      <c r="AD261" s="526"/>
      <c r="AE261" s="526"/>
      <c r="AF261" s="526"/>
      <c r="AG261" s="526"/>
      <c r="AH261" s="526"/>
      <c r="AI261" s="526"/>
      <c r="AJ261" s="526"/>
      <c r="AK261" s="526"/>
      <c r="AL261" s="526"/>
      <c r="AM261" s="526"/>
      <c r="AN261" s="526"/>
      <c r="AO261" s="526"/>
      <c r="AP261" s="526"/>
      <c r="AQ261" s="526"/>
      <c r="AR261" s="526"/>
      <c r="AS261" s="526"/>
      <c r="AT261" s="526"/>
      <c r="AU261" s="526"/>
      <c r="AV261" s="526"/>
      <c r="AW261" s="526"/>
      <c r="AX261" s="526"/>
      <c r="AY261" s="526"/>
      <c r="AZ261" s="526"/>
      <c r="BA261" s="526"/>
      <c r="BB261" s="526"/>
      <c r="BC261" s="526"/>
      <c r="BD261" s="526"/>
      <c r="BE261" s="526"/>
      <c r="BF261" s="526"/>
      <c r="BG261" s="526"/>
    </row>
    <row r="262" spans="1:59" s="830" customFormat="1" ht="17.25" customHeight="1" x14ac:dyDescent="0.25">
      <c r="A262" s="865"/>
      <c r="B262" s="865"/>
      <c r="C262" s="908"/>
      <c r="G262" s="865"/>
      <c r="H262" s="874"/>
      <c r="I262" s="869"/>
      <c r="J262" s="869"/>
      <c r="K262" s="869"/>
      <c r="L262" s="869"/>
      <c r="M262" s="874"/>
      <c r="O262" s="874"/>
      <c r="P262" s="874"/>
      <c r="Q262" s="874"/>
      <c r="R262" s="874"/>
      <c r="S262" s="874"/>
      <c r="T262" s="874"/>
      <c r="W262" s="874"/>
      <c r="X262" s="874"/>
      <c r="Y262" s="874"/>
      <c r="Z262" s="874"/>
      <c r="AA262" s="874"/>
      <c r="AD262" s="526"/>
      <c r="AE262" s="526"/>
      <c r="AF262" s="526"/>
      <c r="AG262" s="526"/>
      <c r="AH262" s="526"/>
      <c r="AI262" s="526"/>
      <c r="AJ262" s="526"/>
      <c r="AK262" s="526"/>
      <c r="AL262" s="526"/>
      <c r="AM262" s="526"/>
      <c r="AN262" s="526"/>
      <c r="AO262" s="526"/>
      <c r="AP262" s="526"/>
      <c r="AQ262" s="526"/>
      <c r="AR262" s="526"/>
      <c r="AS262" s="526"/>
      <c r="AT262" s="526"/>
      <c r="AU262" s="526"/>
      <c r="AV262" s="526"/>
      <c r="AW262" s="526"/>
      <c r="AX262" s="526"/>
      <c r="AY262" s="526"/>
      <c r="AZ262" s="526"/>
      <c r="BA262" s="526"/>
      <c r="BB262" s="526"/>
      <c r="BC262" s="526"/>
      <c r="BD262" s="526"/>
      <c r="BE262" s="526"/>
      <c r="BF262" s="526"/>
      <c r="BG262" s="526"/>
    </row>
    <row r="263" spans="1:59" s="830" customFormat="1" ht="17.25" customHeight="1" x14ac:dyDescent="0.25">
      <c r="A263" s="865"/>
      <c r="B263" s="865"/>
      <c r="C263" s="908"/>
      <c r="G263" s="865"/>
      <c r="H263" s="874"/>
      <c r="I263" s="869"/>
      <c r="J263" s="869"/>
      <c r="K263" s="869"/>
      <c r="L263" s="869"/>
      <c r="M263" s="874"/>
      <c r="O263" s="874"/>
      <c r="P263" s="874"/>
      <c r="Q263" s="874"/>
      <c r="R263" s="874"/>
      <c r="S263" s="874"/>
      <c r="T263" s="874"/>
      <c r="W263" s="874"/>
      <c r="X263" s="874"/>
      <c r="Y263" s="874"/>
      <c r="Z263" s="874"/>
      <c r="AA263" s="874"/>
      <c r="AD263" s="526"/>
      <c r="AE263" s="526"/>
      <c r="AF263" s="526"/>
      <c r="AG263" s="526"/>
      <c r="AH263" s="526"/>
      <c r="AI263" s="526"/>
      <c r="AJ263" s="526"/>
      <c r="AK263" s="526"/>
      <c r="AL263" s="526"/>
      <c r="AM263" s="526"/>
      <c r="AN263" s="526"/>
      <c r="AO263" s="526"/>
      <c r="AP263" s="526"/>
      <c r="AQ263" s="526"/>
      <c r="AR263" s="526"/>
      <c r="AS263" s="526"/>
      <c r="AT263" s="526"/>
      <c r="AU263" s="526"/>
      <c r="AV263" s="526"/>
      <c r="AW263" s="526"/>
      <c r="AX263" s="526"/>
      <c r="AY263" s="526"/>
      <c r="AZ263" s="526"/>
      <c r="BA263" s="526"/>
      <c r="BB263" s="526"/>
      <c r="BC263" s="526"/>
      <c r="BD263" s="526"/>
      <c r="BE263" s="526"/>
      <c r="BF263" s="526"/>
      <c r="BG263" s="526"/>
    </row>
    <row r="264" spans="1:59" s="830" customFormat="1" ht="17.25" customHeight="1" x14ac:dyDescent="0.25">
      <c r="A264" s="865"/>
      <c r="B264" s="865"/>
      <c r="C264" s="908"/>
      <c r="G264" s="865"/>
      <c r="H264" s="874"/>
      <c r="I264" s="869"/>
      <c r="J264" s="869"/>
      <c r="K264" s="869"/>
      <c r="L264" s="869"/>
      <c r="M264" s="874"/>
      <c r="O264" s="874"/>
      <c r="P264" s="874"/>
      <c r="Q264" s="874"/>
      <c r="R264" s="874"/>
      <c r="S264" s="874"/>
      <c r="T264" s="874"/>
      <c r="W264" s="874"/>
      <c r="X264" s="874"/>
      <c r="Y264" s="874"/>
      <c r="Z264" s="874"/>
      <c r="AA264" s="874"/>
      <c r="AD264" s="526"/>
      <c r="AE264" s="526"/>
      <c r="AF264" s="526"/>
      <c r="AG264" s="526"/>
      <c r="AH264" s="526"/>
      <c r="AI264" s="526"/>
      <c r="AJ264" s="526"/>
      <c r="AK264" s="526"/>
      <c r="AL264" s="526"/>
      <c r="AM264" s="526"/>
      <c r="AN264" s="526"/>
      <c r="AO264" s="526"/>
      <c r="AP264" s="526"/>
      <c r="AQ264" s="526"/>
      <c r="AR264" s="526"/>
      <c r="AS264" s="526"/>
      <c r="AT264" s="526"/>
      <c r="AU264" s="526"/>
      <c r="AV264" s="526"/>
      <c r="AW264" s="526"/>
      <c r="AX264" s="526"/>
      <c r="AY264" s="526"/>
      <c r="AZ264" s="526"/>
      <c r="BA264" s="526"/>
      <c r="BB264" s="526"/>
      <c r="BC264" s="526"/>
      <c r="BD264" s="526"/>
      <c r="BE264" s="526"/>
      <c r="BF264" s="526"/>
      <c r="BG264" s="526"/>
    </row>
    <row r="265" spans="1:59" s="830" customFormat="1" ht="17.25" customHeight="1" x14ac:dyDescent="0.25">
      <c r="A265" s="865"/>
      <c r="B265" s="865"/>
      <c r="C265" s="908"/>
      <c r="G265" s="865"/>
      <c r="H265" s="874"/>
      <c r="I265" s="869"/>
      <c r="J265" s="869"/>
      <c r="K265" s="869"/>
      <c r="L265" s="869"/>
      <c r="M265" s="874"/>
      <c r="O265" s="874"/>
      <c r="P265" s="874"/>
      <c r="Q265" s="874"/>
      <c r="R265" s="874"/>
      <c r="S265" s="874"/>
      <c r="T265" s="874"/>
      <c r="W265" s="874"/>
      <c r="X265" s="874"/>
      <c r="Y265" s="874"/>
      <c r="Z265" s="874"/>
      <c r="AA265" s="874"/>
      <c r="AD265" s="526"/>
      <c r="AE265" s="526"/>
      <c r="AF265" s="526"/>
      <c r="AG265" s="526"/>
      <c r="AH265" s="526"/>
      <c r="AI265" s="526"/>
      <c r="AJ265" s="526"/>
      <c r="AK265" s="526"/>
      <c r="AL265" s="526"/>
      <c r="AM265" s="526"/>
      <c r="AN265" s="526"/>
      <c r="AO265" s="526"/>
      <c r="AP265" s="526"/>
      <c r="AQ265" s="526"/>
      <c r="AR265" s="526"/>
      <c r="AS265" s="526"/>
      <c r="AT265" s="526"/>
      <c r="AU265" s="526"/>
      <c r="AV265" s="526"/>
      <c r="AW265" s="526"/>
      <c r="AX265" s="526"/>
      <c r="AY265" s="526"/>
      <c r="AZ265" s="526"/>
      <c r="BA265" s="526"/>
      <c r="BB265" s="526"/>
      <c r="BC265" s="526"/>
      <c r="BD265" s="526"/>
      <c r="BE265" s="526"/>
      <c r="BF265" s="526"/>
      <c r="BG265" s="526"/>
    </row>
    <row r="266" spans="1:59" s="830" customFormat="1" ht="17.25" customHeight="1" x14ac:dyDescent="0.25">
      <c r="A266" s="865"/>
      <c r="B266" s="865"/>
      <c r="C266" s="908"/>
      <c r="G266" s="865"/>
      <c r="H266" s="874"/>
      <c r="I266" s="869"/>
      <c r="J266" s="869"/>
      <c r="K266" s="869"/>
      <c r="L266" s="869"/>
      <c r="M266" s="874"/>
      <c r="O266" s="874"/>
      <c r="P266" s="874"/>
      <c r="Q266" s="874"/>
      <c r="R266" s="874"/>
      <c r="S266" s="874"/>
      <c r="T266" s="874"/>
      <c r="W266" s="874"/>
      <c r="X266" s="874"/>
      <c r="Y266" s="874"/>
      <c r="Z266" s="874"/>
      <c r="AA266" s="874"/>
      <c r="AD266" s="526"/>
      <c r="AE266" s="526"/>
      <c r="AF266" s="526"/>
      <c r="AG266" s="526"/>
      <c r="AH266" s="526"/>
      <c r="AI266" s="526"/>
      <c r="AJ266" s="526"/>
      <c r="AK266" s="526"/>
      <c r="AL266" s="526"/>
      <c r="AM266" s="526"/>
      <c r="AN266" s="526"/>
      <c r="AO266" s="526"/>
      <c r="AP266" s="526"/>
      <c r="AQ266" s="526"/>
      <c r="AR266" s="526"/>
      <c r="AS266" s="526"/>
      <c r="AT266" s="526"/>
      <c r="AU266" s="526"/>
      <c r="AV266" s="526"/>
      <c r="AW266" s="526"/>
      <c r="AX266" s="526"/>
      <c r="AY266" s="526"/>
      <c r="AZ266" s="526"/>
      <c r="BA266" s="526"/>
      <c r="BB266" s="526"/>
      <c r="BC266" s="526"/>
      <c r="BD266" s="526"/>
      <c r="BE266" s="526"/>
      <c r="BF266" s="526"/>
      <c r="BG266" s="526"/>
    </row>
    <row r="267" spans="1:59" s="830" customFormat="1" ht="17.25" customHeight="1" x14ac:dyDescent="0.25">
      <c r="A267" s="865"/>
      <c r="B267" s="865"/>
      <c r="C267" s="908"/>
      <c r="G267" s="865"/>
      <c r="H267" s="874"/>
      <c r="I267" s="869"/>
      <c r="J267" s="869"/>
      <c r="K267" s="869"/>
      <c r="L267" s="869"/>
      <c r="M267" s="874"/>
      <c r="O267" s="874"/>
      <c r="P267" s="874"/>
      <c r="Q267" s="874"/>
      <c r="R267" s="874"/>
      <c r="S267" s="874"/>
      <c r="T267" s="874"/>
      <c r="W267" s="874"/>
      <c r="X267" s="874"/>
      <c r="Y267" s="874"/>
      <c r="Z267" s="874"/>
      <c r="AA267" s="874"/>
      <c r="AD267" s="526"/>
      <c r="AE267" s="526"/>
      <c r="AF267" s="526"/>
      <c r="AG267" s="526"/>
      <c r="AH267" s="526"/>
      <c r="AI267" s="526"/>
      <c r="AJ267" s="526"/>
      <c r="AK267" s="526"/>
      <c r="AL267" s="526"/>
      <c r="AM267" s="526"/>
      <c r="AN267" s="526"/>
      <c r="AO267" s="526"/>
      <c r="AP267" s="526"/>
      <c r="AQ267" s="526"/>
      <c r="AR267" s="526"/>
      <c r="AS267" s="526"/>
      <c r="AT267" s="526"/>
      <c r="AU267" s="526"/>
      <c r="AV267" s="526"/>
      <c r="AW267" s="526"/>
      <c r="AX267" s="526"/>
      <c r="AY267" s="526"/>
      <c r="AZ267" s="526"/>
      <c r="BA267" s="526"/>
      <c r="BB267" s="526"/>
      <c r="BC267" s="526"/>
      <c r="BD267" s="526"/>
      <c r="BE267" s="526"/>
      <c r="BF267" s="526"/>
      <c r="BG267" s="526"/>
    </row>
    <row r="268" spans="1:59" s="830" customFormat="1" ht="17.25" customHeight="1" x14ac:dyDescent="0.25">
      <c r="A268" s="865"/>
      <c r="B268" s="865"/>
      <c r="C268" s="908"/>
      <c r="G268" s="865"/>
      <c r="H268" s="874"/>
      <c r="I268" s="869"/>
      <c r="J268" s="869"/>
      <c r="K268" s="869"/>
      <c r="L268" s="869"/>
      <c r="M268" s="874"/>
      <c r="O268" s="874"/>
      <c r="P268" s="874"/>
      <c r="Q268" s="874"/>
      <c r="R268" s="874"/>
      <c r="S268" s="874"/>
      <c r="T268" s="874"/>
      <c r="W268" s="874"/>
      <c r="X268" s="874"/>
      <c r="Y268" s="874"/>
      <c r="Z268" s="874"/>
      <c r="AA268" s="874"/>
      <c r="AD268" s="526"/>
      <c r="AE268" s="526"/>
      <c r="AF268" s="526"/>
      <c r="AG268" s="526"/>
      <c r="AH268" s="526"/>
      <c r="AI268" s="526"/>
      <c r="AJ268" s="526"/>
      <c r="AK268" s="526"/>
      <c r="AL268" s="526"/>
      <c r="AM268" s="526"/>
      <c r="AN268" s="526"/>
      <c r="AO268" s="526"/>
      <c r="AP268" s="526"/>
      <c r="AQ268" s="526"/>
      <c r="AR268" s="526"/>
      <c r="AS268" s="526"/>
      <c r="AT268" s="526"/>
      <c r="AU268" s="526"/>
      <c r="AV268" s="526"/>
      <c r="AW268" s="526"/>
      <c r="AX268" s="526"/>
      <c r="AY268" s="526"/>
      <c r="AZ268" s="526"/>
      <c r="BA268" s="526"/>
      <c r="BB268" s="526"/>
      <c r="BC268" s="526"/>
      <c r="BD268" s="526"/>
      <c r="BE268" s="526"/>
      <c r="BF268" s="526"/>
      <c r="BG268" s="526"/>
    </row>
    <row r="269" spans="1:59" s="830" customFormat="1" ht="17.25" customHeight="1" x14ac:dyDescent="0.25">
      <c r="A269" s="865"/>
      <c r="B269" s="865"/>
      <c r="C269" s="908"/>
      <c r="G269" s="865"/>
      <c r="H269" s="874"/>
      <c r="I269" s="869"/>
      <c r="J269" s="869"/>
      <c r="K269" s="869"/>
      <c r="L269" s="869"/>
      <c r="M269" s="874"/>
      <c r="O269" s="874"/>
      <c r="P269" s="874"/>
      <c r="Q269" s="874"/>
      <c r="R269" s="874"/>
      <c r="S269" s="874"/>
      <c r="T269" s="874"/>
      <c r="W269" s="874"/>
      <c r="X269" s="874"/>
      <c r="Y269" s="874"/>
      <c r="Z269" s="874"/>
      <c r="AA269" s="874"/>
      <c r="AD269" s="526"/>
      <c r="AE269" s="526"/>
      <c r="AF269" s="526"/>
      <c r="AG269" s="526"/>
      <c r="AH269" s="526"/>
      <c r="AI269" s="526"/>
      <c r="AJ269" s="526"/>
      <c r="AK269" s="526"/>
      <c r="AL269" s="526"/>
      <c r="AM269" s="526"/>
      <c r="AN269" s="526"/>
      <c r="AO269" s="526"/>
      <c r="AP269" s="526"/>
      <c r="AQ269" s="526"/>
      <c r="AR269" s="526"/>
      <c r="AS269" s="526"/>
      <c r="AT269" s="526"/>
      <c r="AU269" s="526"/>
      <c r="AV269" s="526"/>
      <c r="AW269" s="526"/>
      <c r="AX269" s="526"/>
      <c r="AY269" s="526"/>
      <c r="AZ269" s="526"/>
      <c r="BA269" s="526"/>
      <c r="BB269" s="526"/>
      <c r="BC269" s="526"/>
      <c r="BD269" s="526"/>
      <c r="BE269" s="526"/>
      <c r="BF269" s="526"/>
      <c r="BG269" s="526"/>
    </row>
    <row r="270" spans="1:59" s="830" customFormat="1" ht="17.25" customHeight="1" x14ac:dyDescent="0.25">
      <c r="A270" s="865"/>
      <c r="B270" s="865"/>
      <c r="C270" s="908"/>
      <c r="G270" s="865"/>
      <c r="H270" s="874"/>
      <c r="I270" s="869"/>
      <c r="J270" s="869"/>
      <c r="K270" s="869"/>
      <c r="L270" s="869"/>
      <c r="M270" s="874"/>
      <c r="O270" s="874"/>
      <c r="P270" s="874"/>
      <c r="Q270" s="874"/>
      <c r="R270" s="874"/>
      <c r="S270" s="874"/>
      <c r="T270" s="874"/>
      <c r="W270" s="874"/>
      <c r="X270" s="874"/>
      <c r="Y270" s="874"/>
      <c r="Z270" s="874"/>
      <c r="AA270" s="874"/>
      <c r="AD270" s="526"/>
      <c r="AE270" s="526"/>
      <c r="AF270" s="526"/>
      <c r="AG270" s="526"/>
      <c r="AH270" s="526"/>
      <c r="AI270" s="526"/>
      <c r="AJ270" s="526"/>
      <c r="AK270" s="526"/>
      <c r="AL270" s="526"/>
      <c r="AM270" s="526"/>
      <c r="AN270" s="526"/>
      <c r="AO270" s="526"/>
      <c r="AP270" s="526"/>
      <c r="AQ270" s="526"/>
      <c r="AR270" s="526"/>
      <c r="AS270" s="526"/>
      <c r="AT270" s="526"/>
      <c r="AU270" s="526"/>
      <c r="AV270" s="526"/>
      <c r="AW270" s="526"/>
      <c r="AX270" s="526"/>
      <c r="AY270" s="526"/>
      <c r="AZ270" s="526"/>
      <c r="BA270" s="526"/>
      <c r="BB270" s="526"/>
      <c r="BC270" s="526"/>
      <c r="BD270" s="526"/>
      <c r="BE270" s="526"/>
      <c r="BF270" s="526"/>
      <c r="BG270" s="526"/>
    </row>
    <row r="271" spans="1:59" s="830" customFormat="1" ht="17.25" customHeight="1" x14ac:dyDescent="0.25">
      <c r="A271" s="865"/>
      <c r="B271" s="865"/>
      <c r="C271" s="908"/>
      <c r="G271" s="865"/>
      <c r="H271" s="874"/>
      <c r="I271" s="869"/>
      <c r="J271" s="869"/>
      <c r="K271" s="869"/>
      <c r="L271" s="869"/>
      <c r="M271" s="874"/>
      <c r="O271" s="874"/>
      <c r="P271" s="874"/>
      <c r="Q271" s="874"/>
      <c r="R271" s="874"/>
      <c r="S271" s="874"/>
      <c r="T271" s="874"/>
      <c r="W271" s="874"/>
      <c r="X271" s="874"/>
      <c r="Y271" s="874"/>
      <c r="Z271" s="874"/>
      <c r="AA271" s="874"/>
      <c r="AD271" s="526"/>
      <c r="AE271" s="526"/>
      <c r="AF271" s="526"/>
      <c r="AG271" s="526"/>
      <c r="AH271" s="526"/>
      <c r="AI271" s="526"/>
      <c r="AJ271" s="526"/>
      <c r="AK271" s="526"/>
      <c r="AL271" s="526"/>
      <c r="AM271" s="526"/>
      <c r="AN271" s="526"/>
      <c r="AO271" s="526"/>
      <c r="AP271" s="526"/>
      <c r="AQ271" s="526"/>
      <c r="AR271" s="526"/>
      <c r="AS271" s="526"/>
      <c r="AT271" s="526"/>
      <c r="AU271" s="526"/>
      <c r="AV271" s="526"/>
      <c r="AW271" s="526"/>
      <c r="AX271" s="526"/>
      <c r="AY271" s="526"/>
      <c r="AZ271" s="526"/>
      <c r="BA271" s="526"/>
      <c r="BB271" s="526"/>
      <c r="BC271" s="526"/>
      <c r="BD271" s="526"/>
      <c r="BE271" s="526"/>
      <c r="BF271" s="526"/>
      <c r="BG271" s="526"/>
    </row>
    <row r="272" spans="1:59" s="830" customFormat="1" ht="17.25" customHeight="1" x14ac:dyDescent="0.25">
      <c r="A272" s="865"/>
      <c r="B272" s="865"/>
      <c r="C272" s="908"/>
      <c r="G272" s="865"/>
      <c r="H272" s="874"/>
      <c r="I272" s="869"/>
      <c r="J272" s="869"/>
      <c r="K272" s="869"/>
      <c r="L272" s="869"/>
      <c r="M272" s="874"/>
      <c r="O272" s="874"/>
      <c r="P272" s="874"/>
      <c r="Q272" s="874"/>
      <c r="R272" s="874"/>
      <c r="S272" s="874"/>
      <c r="T272" s="874"/>
      <c r="W272" s="874"/>
      <c r="X272" s="874"/>
      <c r="Y272" s="874"/>
      <c r="Z272" s="874"/>
      <c r="AA272" s="874"/>
      <c r="AD272" s="526"/>
      <c r="AE272" s="526"/>
      <c r="AF272" s="526"/>
      <c r="AG272" s="526"/>
      <c r="AH272" s="526"/>
      <c r="AI272" s="526"/>
      <c r="AJ272" s="526"/>
      <c r="AK272" s="526"/>
      <c r="AL272" s="526"/>
      <c r="AM272" s="526"/>
      <c r="AN272" s="526"/>
      <c r="AO272" s="526"/>
      <c r="AP272" s="526"/>
      <c r="AQ272" s="526"/>
      <c r="AR272" s="526"/>
      <c r="AS272" s="526"/>
      <c r="AT272" s="526"/>
      <c r="AU272" s="526"/>
      <c r="AV272" s="526"/>
      <c r="AW272" s="526"/>
      <c r="AX272" s="526"/>
      <c r="AY272" s="526"/>
      <c r="AZ272" s="526"/>
      <c r="BA272" s="526"/>
      <c r="BB272" s="526"/>
      <c r="BC272" s="526"/>
      <c r="BD272" s="526"/>
      <c r="BE272" s="526"/>
      <c r="BF272" s="526"/>
      <c r="BG272" s="526"/>
    </row>
    <row r="273" spans="1:59" s="830" customFormat="1" ht="17.25" customHeight="1" x14ac:dyDescent="0.25">
      <c r="A273" s="865"/>
      <c r="B273" s="865"/>
      <c r="C273" s="908"/>
      <c r="G273" s="865"/>
      <c r="H273" s="874"/>
      <c r="I273" s="869"/>
      <c r="J273" s="869"/>
      <c r="K273" s="869"/>
      <c r="L273" s="869"/>
      <c r="M273" s="874"/>
      <c r="O273" s="874"/>
      <c r="P273" s="874"/>
      <c r="Q273" s="874"/>
      <c r="R273" s="874"/>
      <c r="S273" s="874"/>
      <c r="T273" s="874"/>
      <c r="W273" s="874"/>
      <c r="X273" s="874"/>
      <c r="Y273" s="874"/>
      <c r="Z273" s="874"/>
      <c r="AA273" s="874"/>
      <c r="AD273" s="526"/>
      <c r="AE273" s="526"/>
      <c r="AF273" s="526"/>
      <c r="AG273" s="526"/>
      <c r="AH273" s="526"/>
      <c r="AI273" s="526"/>
      <c r="AJ273" s="526"/>
      <c r="AK273" s="526"/>
      <c r="AL273" s="526"/>
      <c r="AM273" s="526"/>
      <c r="AN273" s="526"/>
      <c r="AO273" s="526"/>
      <c r="AP273" s="526"/>
      <c r="AQ273" s="526"/>
      <c r="AR273" s="526"/>
      <c r="AS273" s="526"/>
      <c r="AT273" s="526"/>
      <c r="AU273" s="526"/>
      <c r="AV273" s="526"/>
      <c r="AW273" s="526"/>
      <c r="AX273" s="526"/>
      <c r="AY273" s="526"/>
      <c r="AZ273" s="526"/>
      <c r="BA273" s="526"/>
      <c r="BB273" s="526"/>
      <c r="BC273" s="526"/>
      <c r="BD273" s="526"/>
      <c r="BE273" s="526"/>
      <c r="BF273" s="526"/>
      <c r="BG273" s="526"/>
    </row>
    <row r="274" spans="1:59" s="830" customFormat="1" ht="17.25" customHeight="1" x14ac:dyDescent="0.25">
      <c r="A274" s="865"/>
      <c r="B274" s="865"/>
      <c r="C274" s="908"/>
      <c r="G274" s="865"/>
      <c r="H274" s="874"/>
      <c r="I274" s="869"/>
      <c r="J274" s="869"/>
      <c r="K274" s="869"/>
      <c r="L274" s="869"/>
      <c r="M274" s="874"/>
      <c r="O274" s="874"/>
      <c r="P274" s="874"/>
      <c r="Q274" s="874"/>
      <c r="R274" s="874"/>
      <c r="S274" s="874"/>
      <c r="T274" s="874"/>
      <c r="W274" s="874"/>
      <c r="X274" s="874"/>
      <c r="Y274" s="874"/>
      <c r="Z274" s="874"/>
      <c r="AA274" s="874"/>
      <c r="AD274" s="526"/>
      <c r="AE274" s="526"/>
      <c r="AF274" s="526"/>
      <c r="AG274" s="526"/>
      <c r="AH274" s="526"/>
      <c r="AI274" s="526"/>
      <c r="AJ274" s="526"/>
      <c r="AK274" s="526"/>
      <c r="AL274" s="526"/>
      <c r="AM274" s="526"/>
      <c r="AN274" s="526"/>
      <c r="AO274" s="526"/>
      <c r="AP274" s="526"/>
      <c r="AQ274" s="526"/>
      <c r="AR274" s="526"/>
      <c r="AS274" s="526"/>
      <c r="AT274" s="526"/>
      <c r="AU274" s="526"/>
      <c r="AV274" s="526"/>
      <c r="AW274" s="526"/>
      <c r="AX274" s="526"/>
      <c r="AY274" s="526"/>
      <c r="AZ274" s="526"/>
      <c r="BA274" s="526"/>
      <c r="BB274" s="526"/>
      <c r="BC274" s="526"/>
      <c r="BD274" s="526"/>
      <c r="BE274" s="526"/>
      <c r="BF274" s="526"/>
      <c r="BG274" s="526"/>
    </row>
    <row r="275" spans="1:59" s="830" customFormat="1" ht="17.25" customHeight="1" x14ac:dyDescent="0.25">
      <c r="A275" s="865"/>
      <c r="B275" s="865"/>
      <c r="C275" s="908"/>
      <c r="G275" s="865"/>
      <c r="H275" s="874"/>
      <c r="I275" s="869"/>
      <c r="J275" s="869"/>
      <c r="K275" s="869"/>
      <c r="L275" s="869"/>
      <c r="M275" s="874"/>
      <c r="O275" s="874"/>
      <c r="P275" s="874"/>
      <c r="Q275" s="874"/>
      <c r="R275" s="874"/>
      <c r="S275" s="874"/>
      <c r="T275" s="874"/>
      <c r="W275" s="874"/>
      <c r="X275" s="874"/>
      <c r="Y275" s="874"/>
      <c r="Z275" s="874"/>
      <c r="AA275" s="874"/>
      <c r="AD275" s="526"/>
      <c r="AE275" s="526"/>
      <c r="AF275" s="526"/>
      <c r="AG275" s="526"/>
      <c r="AH275" s="526"/>
      <c r="AI275" s="526"/>
      <c r="AJ275" s="526"/>
      <c r="AK275" s="526"/>
      <c r="AL275" s="526"/>
      <c r="AM275" s="526"/>
      <c r="AN275" s="526"/>
      <c r="AO275" s="526"/>
      <c r="AP275" s="526"/>
      <c r="AQ275" s="526"/>
      <c r="AR275" s="526"/>
      <c r="AS275" s="526"/>
      <c r="AT275" s="526"/>
      <c r="AU275" s="526"/>
      <c r="AV275" s="526"/>
      <c r="AW275" s="526"/>
      <c r="AX275" s="526"/>
      <c r="AY275" s="526"/>
      <c r="AZ275" s="526"/>
      <c r="BA275" s="526"/>
      <c r="BB275" s="526"/>
      <c r="BC275" s="526"/>
      <c r="BD275" s="526"/>
      <c r="BE275" s="526"/>
      <c r="BF275" s="526"/>
      <c r="BG275" s="526"/>
    </row>
    <row r="276" spans="1:59" s="830" customFormat="1" ht="17.25" customHeight="1" x14ac:dyDescent="0.25">
      <c r="A276" s="865"/>
      <c r="B276" s="865"/>
      <c r="C276" s="908"/>
      <c r="G276" s="865"/>
      <c r="H276" s="874"/>
      <c r="I276" s="869"/>
      <c r="J276" s="869"/>
      <c r="K276" s="869"/>
      <c r="L276" s="869"/>
      <c r="M276" s="874"/>
      <c r="O276" s="874"/>
      <c r="P276" s="874"/>
      <c r="Q276" s="874"/>
      <c r="R276" s="874"/>
      <c r="S276" s="874"/>
      <c r="T276" s="874"/>
      <c r="W276" s="874"/>
      <c r="X276" s="874"/>
      <c r="Y276" s="874"/>
      <c r="Z276" s="874"/>
      <c r="AA276" s="874"/>
      <c r="AD276" s="526"/>
      <c r="AE276" s="526"/>
      <c r="AF276" s="526"/>
      <c r="AG276" s="526"/>
      <c r="AH276" s="526"/>
      <c r="AI276" s="526"/>
      <c r="AJ276" s="526"/>
      <c r="AK276" s="526"/>
      <c r="AL276" s="526"/>
      <c r="AM276" s="526"/>
      <c r="AN276" s="526"/>
      <c r="AO276" s="526"/>
      <c r="AP276" s="526"/>
      <c r="AQ276" s="526"/>
      <c r="AR276" s="526"/>
      <c r="AS276" s="526"/>
      <c r="AT276" s="526"/>
      <c r="AU276" s="526"/>
      <c r="AV276" s="526"/>
      <c r="AW276" s="526"/>
      <c r="AX276" s="526"/>
      <c r="AY276" s="526"/>
      <c r="AZ276" s="526"/>
      <c r="BA276" s="526"/>
      <c r="BB276" s="526"/>
      <c r="BC276" s="526"/>
      <c r="BD276" s="526"/>
      <c r="BE276" s="526"/>
      <c r="BF276" s="526"/>
      <c r="BG276" s="526"/>
    </row>
    <row r="277" spans="1:59" s="830" customFormat="1" ht="17.25" customHeight="1" x14ac:dyDescent="0.25">
      <c r="A277" s="865"/>
      <c r="B277" s="865"/>
      <c r="C277" s="908"/>
      <c r="G277" s="865"/>
      <c r="H277" s="874"/>
      <c r="I277" s="869"/>
      <c r="J277" s="869"/>
      <c r="K277" s="869"/>
      <c r="L277" s="869"/>
      <c r="M277" s="874"/>
      <c r="O277" s="874"/>
      <c r="P277" s="874"/>
      <c r="Q277" s="874"/>
      <c r="R277" s="874"/>
      <c r="S277" s="874"/>
      <c r="T277" s="874"/>
      <c r="W277" s="874"/>
      <c r="X277" s="874"/>
      <c r="Y277" s="874"/>
      <c r="Z277" s="874"/>
      <c r="AA277" s="874"/>
      <c r="AD277" s="526"/>
      <c r="AE277" s="526"/>
      <c r="AF277" s="526"/>
      <c r="AG277" s="526"/>
      <c r="AH277" s="526"/>
      <c r="AI277" s="526"/>
      <c r="AJ277" s="526"/>
      <c r="AK277" s="526"/>
      <c r="AL277" s="526"/>
      <c r="AM277" s="526"/>
      <c r="AN277" s="526"/>
      <c r="AO277" s="526"/>
      <c r="AP277" s="526"/>
      <c r="AQ277" s="526"/>
      <c r="AR277" s="526"/>
      <c r="AS277" s="526"/>
      <c r="AT277" s="526"/>
      <c r="AU277" s="526"/>
      <c r="AV277" s="526"/>
      <c r="AW277" s="526"/>
      <c r="AX277" s="526"/>
      <c r="AY277" s="526"/>
      <c r="AZ277" s="526"/>
      <c r="BA277" s="526"/>
      <c r="BB277" s="526"/>
      <c r="BC277" s="526"/>
      <c r="BD277" s="526"/>
      <c r="BE277" s="526"/>
      <c r="BF277" s="526"/>
      <c r="BG277" s="526"/>
    </row>
    <row r="278" spans="1:59" s="830" customFormat="1" ht="17.25" customHeight="1" x14ac:dyDescent="0.25">
      <c r="A278" s="865"/>
      <c r="B278" s="865"/>
      <c r="C278" s="908"/>
      <c r="G278" s="865"/>
      <c r="H278" s="874"/>
      <c r="I278" s="869"/>
      <c r="J278" s="869"/>
      <c r="K278" s="869"/>
      <c r="L278" s="869"/>
      <c r="M278" s="874"/>
      <c r="O278" s="874"/>
      <c r="P278" s="874"/>
      <c r="Q278" s="874"/>
      <c r="R278" s="874"/>
      <c r="S278" s="874"/>
      <c r="T278" s="874"/>
      <c r="W278" s="874"/>
      <c r="X278" s="874"/>
      <c r="Y278" s="874"/>
      <c r="Z278" s="874"/>
      <c r="AA278" s="874"/>
      <c r="AD278" s="526"/>
      <c r="AE278" s="526"/>
      <c r="AF278" s="526"/>
      <c r="AG278" s="526"/>
      <c r="AH278" s="526"/>
      <c r="AI278" s="526"/>
      <c r="AJ278" s="526"/>
      <c r="AK278" s="526"/>
      <c r="AL278" s="526"/>
      <c r="AM278" s="526"/>
      <c r="AN278" s="526"/>
      <c r="AO278" s="526"/>
      <c r="AP278" s="526"/>
      <c r="AQ278" s="526"/>
      <c r="AR278" s="526"/>
      <c r="AS278" s="526"/>
      <c r="AT278" s="526"/>
      <c r="AU278" s="526"/>
      <c r="AV278" s="526"/>
      <c r="AW278" s="526"/>
      <c r="AX278" s="526"/>
      <c r="AY278" s="526"/>
      <c r="AZ278" s="526"/>
      <c r="BA278" s="526"/>
      <c r="BB278" s="526"/>
      <c r="BC278" s="526"/>
      <c r="BD278" s="526"/>
      <c r="BE278" s="526"/>
      <c r="BF278" s="526"/>
      <c r="BG278" s="526"/>
    </row>
    <row r="279" spans="1:59" s="830" customFormat="1" ht="17.25" customHeight="1" x14ac:dyDescent="0.25">
      <c r="A279" s="865"/>
      <c r="B279" s="865"/>
      <c r="C279" s="908"/>
      <c r="G279" s="865"/>
      <c r="H279" s="874"/>
      <c r="I279" s="869"/>
      <c r="J279" s="869"/>
      <c r="K279" s="869"/>
      <c r="L279" s="869"/>
      <c r="M279" s="874"/>
      <c r="O279" s="874"/>
      <c r="P279" s="874"/>
      <c r="Q279" s="874"/>
      <c r="R279" s="874"/>
      <c r="S279" s="874"/>
      <c r="T279" s="874"/>
      <c r="W279" s="874"/>
      <c r="X279" s="874"/>
      <c r="Y279" s="874"/>
      <c r="Z279" s="874"/>
      <c r="AA279" s="874"/>
      <c r="AD279" s="526"/>
      <c r="AE279" s="526"/>
      <c r="AF279" s="526"/>
      <c r="AG279" s="526"/>
      <c r="AH279" s="526"/>
      <c r="AI279" s="526"/>
      <c r="AJ279" s="526"/>
      <c r="AK279" s="526"/>
      <c r="AL279" s="526"/>
      <c r="AM279" s="526"/>
      <c r="AN279" s="526"/>
      <c r="AO279" s="526"/>
      <c r="AP279" s="526"/>
      <c r="AQ279" s="526"/>
      <c r="AR279" s="526"/>
      <c r="AS279" s="526"/>
      <c r="AT279" s="526"/>
      <c r="AU279" s="526"/>
      <c r="AV279" s="526"/>
      <c r="AW279" s="526"/>
      <c r="AX279" s="526"/>
      <c r="AY279" s="526"/>
      <c r="AZ279" s="526"/>
      <c r="BA279" s="526"/>
      <c r="BB279" s="526"/>
      <c r="BC279" s="526"/>
      <c r="BD279" s="526"/>
      <c r="BE279" s="526"/>
      <c r="BF279" s="526"/>
      <c r="BG279" s="526"/>
    </row>
    <row r="280" spans="1:59" s="830" customFormat="1" ht="17.25" customHeight="1" x14ac:dyDescent="0.25">
      <c r="A280" s="865"/>
      <c r="B280" s="865"/>
      <c r="C280" s="908"/>
      <c r="G280" s="865"/>
      <c r="H280" s="874"/>
      <c r="I280" s="869"/>
      <c r="J280" s="869"/>
      <c r="K280" s="869"/>
      <c r="L280" s="869"/>
      <c r="M280" s="874"/>
      <c r="O280" s="874"/>
      <c r="P280" s="874"/>
      <c r="Q280" s="874"/>
      <c r="R280" s="874"/>
      <c r="S280" s="874"/>
      <c r="T280" s="874"/>
      <c r="W280" s="874"/>
      <c r="X280" s="874"/>
      <c r="Y280" s="874"/>
      <c r="Z280" s="874"/>
      <c r="AA280" s="874"/>
      <c r="AD280" s="526"/>
      <c r="AE280" s="526"/>
      <c r="AF280" s="526"/>
      <c r="AG280" s="526"/>
      <c r="AH280" s="526"/>
      <c r="AI280" s="526"/>
      <c r="AJ280" s="526"/>
      <c r="AK280" s="526"/>
      <c r="AL280" s="526"/>
      <c r="AM280" s="526"/>
      <c r="AN280" s="526"/>
      <c r="AO280" s="526"/>
      <c r="AP280" s="526"/>
      <c r="AQ280" s="526"/>
      <c r="AR280" s="526"/>
      <c r="AS280" s="526"/>
      <c r="AT280" s="526"/>
      <c r="AU280" s="526"/>
      <c r="AV280" s="526"/>
      <c r="AW280" s="526"/>
      <c r="AX280" s="526"/>
      <c r="AY280" s="526"/>
      <c r="AZ280" s="526"/>
      <c r="BA280" s="526"/>
      <c r="BB280" s="526"/>
      <c r="BC280" s="526"/>
      <c r="BD280" s="526"/>
      <c r="BE280" s="526"/>
      <c r="BF280" s="526"/>
      <c r="BG280" s="526"/>
    </row>
    <row r="281" spans="1:59" s="830" customFormat="1" ht="17.25" customHeight="1" x14ac:dyDescent="0.25">
      <c r="A281" s="865"/>
      <c r="B281" s="865"/>
      <c r="C281" s="908"/>
      <c r="G281" s="865"/>
      <c r="H281" s="874"/>
      <c r="I281" s="869"/>
      <c r="J281" s="869"/>
      <c r="K281" s="869"/>
      <c r="L281" s="869"/>
      <c r="M281" s="874"/>
      <c r="O281" s="874"/>
      <c r="P281" s="874"/>
      <c r="Q281" s="874"/>
      <c r="R281" s="874"/>
      <c r="S281" s="874"/>
      <c r="T281" s="874"/>
      <c r="W281" s="874"/>
      <c r="X281" s="874"/>
      <c r="Y281" s="874"/>
      <c r="Z281" s="874"/>
      <c r="AA281" s="874"/>
      <c r="AD281" s="526"/>
      <c r="AE281" s="526"/>
      <c r="AF281" s="526"/>
      <c r="AG281" s="526"/>
      <c r="AH281" s="526"/>
      <c r="AI281" s="526"/>
      <c r="AJ281" s="526"/>
      <c r="AK281" s="526"/>
      <c r="AL281" s="526"/>
      <c r="AM281" s="526"/>
      <c r="AN281" s="526"/>
      <c r="AO281" s="526"/>
      <c r="AP281" s="526"/>
      <c r="AQ281" s="526"/>
      <c r="AR281" s="526"/>
      <c r="AS281" s="526"/>
      <c r="AT281" s="526"/>
      <c r="AU281" s="526"/>
      <c r="AV281" s="526"/>
      <c r="AW281" s="526"/>
      <c r="AX281" s="526"/>
      <c r="AY281" s="526"/>
      <c r="AZ281" s="526"/>
      <c r="BA281" s="526"/>
      <c r="BB281" s="526"/>
      <c r="BC281" s="526"/>
      <c r="BD281" s="526"/>
      <c r="BE281" s="526"/>
      <c r="BF281" s="526"/>
      <c r="BG281" s="526"/>
    </row>
    <row r="282" spans="1:59" s="830" customFormat="1" ht="17.25" customHeight="1" x14ac:dyDescent="0.25">
      <c r="A282" s="865"/>
      <c r="B282" s="865"/>
      <c r="C282" s="908"/>
      <c r="G282" s="865"/>
      <c r="H282" s="874"/>
      <c r="I282" s="869"/>
      <c r="J282" s="869"/>
      <c r="K282" s="869"/>
      <c r="L282" s="869"/>
      <c r="M282" s="874"/>
      <c r="O282" s="874"/>
      <c r="P282" s="874"/>
      <c r="Q282" s="874"/>
      <c r="R282" s="874"/>
      <c r="S282" s="874"/>
      <c r="T282" s="874"/>
      <c r="W282" s="874"/>
      <c r="X282" s="874"/>
      <c r="Y282" s="874"/>
      <c r="Z282" s="874"/>
      <c r="AA282" s="874"/>
      <c r="AD282" s="526"/>
      <c r="AE282" s="526"/>
      <c r="AF282" s="526"/>
      <c r="AG282" s="526"/>
      <c r="AH282" s="526"/>
      <c r="AI282" s="526"/>
      <c r="AJ282" s="526"/>
      <c r="AK282" s="526"/>
      <c r="AL282" s="526"/>
      <c r="AM282" s="526"/>
      <c r="AN282" s="526"/>
      <c r="AO282" s="526"/>
      <c r="AP282" s="526"/>
      <c r="AQ282" s="526"/>
      <c r="AR282" s="526"/>
      <c r="AS282" s="526"/>
      <c r="AT282" s="526"/>
      <c r="AU282" s="526"/>
      <c r="AV282" s="526"/>
      <c r="AW282" s="526"/>
      <c r="AX282" s="526"/>
      <c r="AY282" s="526"/>
      <c r="AZ282" s="526"/>
      <c r="BA282" s="526"/>
      <c r="BB282" s="526"/>
      <c r="BC282" s="526"/>
      <c r="BD282" s="526"/>
      <c r="BE282" s="526"/>
      <c r="BF282" s="526"/>
      <c r="BG282" s="526"/>
    </row>
    <row r="283" spans="1:59" s="830" customFormat="1" ht="17.25" customHeight="1" x14ac:dyDescent="0.25">
      <c r="A283" s="865"/>
      <c r="B283" s="865"/>
      <c r="C283" s="908"/>
      <c r="G283" s="865"/>
      <c r="H283" s="874"/>
      <c r="I283" s="869"/>
      <c r="J283" s="869"/>
      <c r="K283" s="869"/>
      <c r="L283" s="869"/>
      <c r="M283" s="874"/>
      <c r="O283" s="874"/>
      <c r="P283" s="874"/>
      <c r="Q283" s="874"/>
      <c r="R283" s="874"/>
      <c r="S283" s="874"/>
      <c r="T283" s="874"/>
      <c r="W283" s="874"/>
      <c r="X283" s="874"/>
      <c r="Y283" s="874"/>
      <c r="Z283" s="874"/>
      <c r="AA283" s="874"/>
      <c r="AD283" s="526"/>
      <c r="AE283" s="526"/>
      <c r="AF283" s="526"/>
      <c r="AG283" s="526"/>
      <c r="AH283" s="526"/>
      <c r="AI283" s="526"/>
      <c r="AJ283" s="526"/>
      <c r="AK283" s="526"/>
      <c r="AL283" s="526"/>
      <c r="AM283" s="526"/>
      <c r="AN283" s="526"/>
      <c r="AO283" s="526"/>
      <c r="AP283" s="526"/>
      <c r="AQ283" s="526"/>
      <c r="AR283" s="526"/>
      <c r="AS283" s="526"/>
      <c r="AT283" s="526"/>
      <c r="AU283" s="526"/>
      <c r="AV283" s="526"/>
      <c r="AW283" s="526"/>
      <c r="AX283" s="526"/>
      <c r="AY283" s="526"/>
      <c r="AZ283" s="526"/>
      <c r="BA283" s="526"/>
      <c r="BB283" s="526"/>
      <c r="BC283" s="526"/>
      <c r="BD283" s="526"/>
      <c r="BE283" s="526"/>
      <c r="BF283" s="526"/>
      <c r="BG283" s="526"/>
    </row>
    <row r="284" spans="1:59" s="830" customFormat="1" ht="17.25" customHeight="1" x14ac:dyDescent="0.25">
      <c r="A284" s="865"/>
      <c r="B284" s="865"/>
      <c r="C284" s="908"/>
      <c r="G284" s="865"/>
      <c r="H284" s="874"/>
      <c r="I284" s="869"/>
      <c r="J284" s="869"/>
      <c r="K284" s="869"/>
      <c r="L284" s="869"/>
      <c r="M284" s="874"/>
      <c r="O284" s="874"/>
      <c r="P284" s="874"/>
      <c r="Q284" s="874"/>
      <c r="R284" s="874"/>
      <c r="S284" s="874"/>
      <c r="T284" s="874"/>
      <c r="W284" s="874"/>
      <c r="X284" s="874"/>
      <c r="Y284" s="874"/>
      <c r="Z284" s="874"/>
      <c r="AA284" s="874"/>
      <c r="AD284" s="526"/>
      <c r="AE284" s="526"/>
      <c r="AF284" s="526"/>
      <c r="AG284" s="526"/>
      <c r="AH284" s="526"/>
      <c r="AI284" s="526"/>
      <c r="AJ284" s="526"/>
      <c r="AK284" s="526"/>
      <c r="AL284" s="526"/>
      <c r="AM284" s="526"/>
      <c r="AN284" s="526"/>
      <c r="AO284" s="526"/>
      <c r="AP284" s="526"/>
      <c r="AQ284" s="526"/>
      <c r="AR284" s="526"/>
      <c r="AS284" s="526"/>
      <c r="AT284" s="526"/>
      <c r="AU284" s="526"/>
      <c r="AV284" s="526"/>
      <c r="AW284" s="526"/>
      <c r="AX284" s="526"/>
      <c r="AY284" s="526"/>
      <c r="AZ284" s="526"/>
      <c r="BA284" s="526"/>
      <c r="BB284" s="526"/>
      <c r="BC284" s="526"/>
      <c r="BD284" s="526"/>
      <c r="BE284" s="526"/>
      <c r="BF284" s="526"/>
      <c r="BG284" s="526"/>
    </row>
    <row r="285" spans="1:59" s="830" customFormat="1" ht="17.25" customHeight="1" x14ac:dyDescent="0.25">
      <c r="A285" s="865"/>
      <c r="B285" s="865"/>
      <c r="C285" s="908"/>
      <c r="G285" s="865"/>
      <c r="H285" s="874"/>
      <c r="I285" s="869"/>
      <c r="J285" s="869"/>
      <c r="K285" s="869"/>
      <c r="L285" s="869"/>
      <c r="M285" s="874"/>
      <c r="O285" s="874"/>
      <c r="P285" s="874"/>
      <c r="Q285" s="874"/>
      <c r="R285" s="874"/>
      <c r="S285" s="874"/>
      <c r="T285" s="874"/>
      <c r="W285" s="874"/>
      <c r="X285" s="874"/>
      <c r="Y285" s="874"/>
      <c r="Z285" s="874"/>
      <c r="AA285" s="874"/>
      <c r="AD285" s="526"/>
      <c r="AE285" s="526"/>
      <c r="AF285" s="526"/>
      <c r="AG285" s="526"/>
      <c r="AH285" s="526"/>
      <c r="AI285" s="526"/>
      <c r="AJ285" s="526"/>
      <c r="AK285" s="526"/>
      <c r="AL285" s="526"/>
      <c r="AM285" s="526"/>
      <c r="AN285" s="526"/>
      <c r="AO285" s="526"/>
      <c r="AP285" s="526"/>
      <c r="AQ285" s="526"/>
      <c r="AR285" s="526"/>
      <c r="AS285" s="526"/>
      <c r="AT285" s="526"/>
      <c r="AU285" s="526"/>
      <c r="AV285" s="526"/>
      <c r="AW285" s="526"/>
      <c r="AX285" s="526"/>
      <c r="AY285" s="526"/>
      <c r="AZ285" s="526"/>
      <c r="BA285" s="526"/>
      <c r="BB285" s="526"/>
      <c r="BC285" s="526"/>
      <c r="BD285" s="526"/>
      <c r="BE285" s="526"/>
      <c r="BF285" s="526"/>
      <c r="BG285" s="526"/>
    </row>
    <row r="286" spans="1:59" s="830" customFormat="1" ht="17.25" customHeight="1" x14ac:dyDescent="0.25">
      <c r="A286" s="865"/>
      <c r="B286" s="865"/>
      <c r="C286" s="908"/>
      <c r="G286" s="865"/>
      <c r="H286" s="874"/>
      <c r="I286" s="869"/>
      <c r="J286" s="869"/>
      <c r="K286" s="869"/>
      <c r="L286" s="869"/>
      <c r="M286" s="874"/>
      <c r="O286" s="874"/>
      <c r="P286" s="874"/>
      <c r="Q286" s="874"/>
      <c r="R286" s="874"/>
      <c r="S286" s="874"/>
      <c r="T286" s="874"/>
      <c r="W286" s="874"/>
      <c r="X286" s="874"/>
      <c r="Y286" s="874"/>
      <c r="Z286" s="874"/>
      <c r="AA286" s="874"/>
      <c r="AD286" s="526"/>
      <c r="AE286" s="526"/>
      <c r="AF286" s="526"/>
      <c r="AG286" s="526"/>
      <c r="AH286" s="526"/>
      <c r="AI286" s="526"/>
      <c r="AJ286" s="526"/>
      <c r="AK286" s="526"/>
      <c r="AL286" s="526"/>
      <c r="AM286" s="526"/>
      <c r="AN286" s="526"/>
      <c r="AO286" s="526"/>
      <c r="AP286" s="526"/>
      <c r="AQ286" s="526"/>
      <c r="AR286" s="526"/>
      <c r="AS286" s="526"/>
      <c r="AT286" s="526"/>
      <c r="AU286" s="526"/>
      <c r="AV286" s="526"/>
      <c r="AW286" s="526"/>
      <c r="AX286" s="526"/>
      <c r="AY286" s="526"/>
      <c r="AZ286" s="526"/>
      <c r="BA286" s="526"/>
      <c r="BB286" s="526"/>
      <c r="BC286" s="526"/>
      <c r="BD286" s="526"/>
      <c r="BE286" s="526"/>
      <c r="BF286" s="526"/>
      <c r="BG286" s="526"/>
    </row>
    <row r="287" spans="1:59" s="830" customFormat="1" ht="17.25" customHeight="1" x14ac:dyDescent="0.25">
      <c r="A287" s="865"/>
      <c r="B287" s="865"/>
      <c r="C287" s="908"/>
      <c r="G287" s="865"/>
      <c r="H287" s="874"/>
      <c r="I287" s="869"/>
      <c r="J287" s="869"/>
      <c r="K287" s="869"/>
      <c r="L287" s="869"/>
      <c r="M287" s="874"/>
      <c r="O287" s="874"/>
      <c r="P287" s="874"/>
      <c r="Q287" s="874"/>
      <c r="R287" s="874"/>
      <c r="S287" s="874"/>
      <c r="T287" s="874"/>
      <c r="W287" s="874"/>
      <c r="X287" s="874"/>
      <c r="Y287" s="874"/>
      <c r="Z287" s="874"/>
      <c r="AA287" s="874"/>
      <c r="AD287" s="526"/>
      <c r="AE287" s="526"/>
      <c r="AF287" s="526"/>
      <c r="AG287" s="526"/>
      <c r="AH287" s="526"/>
      <c r="AI287" s="526"/>
      <c r="AJ287" s="526"/>
      <c r="AK287" s="526"/>
      <c r="AL287" s="526"/>
      <c r="AM287" s="526"/>
      <c r="AN287" s="526"/>
      <c r="AO287" s="526"/>
      <c r="AP287" s="526"/>
      <c r="AQ287" s="526"/>
      <c r="AR287" s="526"/>
      <c r="AS287" s="526"/>
      <c r="AT287" s="526"/>
      <c r="AU287" s="526"/>
      <c r="AV287" s="526"/>
      <c r="AW287" s="526"/>
      <c r="AX287" s="526"/>
      <c r="AY287" s="526"/>
      <c r="AZ287" s="526"/>
      <c r="BA287" s="526"/>
      <c r="BB287" s="526"/>
      <c r="BC287" s="526"/>
      <c r="BD287" s="526"/>
      <c r="BE287" s="526"/>
      <c r="BF287" s="526"/>
      <c r="BG287" s="526"/>
    </row>
    <row r="288" spans="1:59" s="830" customFormat="1" ht="17.25" customHeight="1" x14ac:dyDescent="0.25">
      <c r="A288" s="865"/>
      <c r="B288" s="865"/>
      <c r="C288" s="908"/>
      <c r="G288" s="865"/>
      <c r="H288" s="874"/>
      <c r="I288" s="869"/>
      <c r="J288" s="869"/>
      <c r="K288" s="869"/>
      <c r="L288" s="869"/>
      <c r="M288" s="874"/>
      <c r="O288" s="874"/>
      <c r="P288" s="874"/>
      <c r="Q288" s="874"/>
      <c r="R288" s="874"/>
      <c r="S288" s="874"/>
      <c r="T288" s="874"/>
      <c r="W288" s="874"/>
      <c r="X288" s="874"/>
      <c r="Y288" s="874"/>
      <c r="Z288" s="874"/>
      <c r="AA288" s="874"/>
      <c r="AD288" s="526"/>
      <c r="AE288" s="526"/>
      <c r="AF288" s="526"/>
      <c r="AG288" s="526"/>
      <c r="AH288" s="526"/>
      <c r="AI288" s="526"/>
      <c r="AJ288" s="526"/>
      <c r="AK288" s="526"/>
      <c r="AL288" s="526"/>
      <c r="AM288" s="526"/>
      <c r="AN288" s="526"/>
      <c r="AO288" s="526"/>
      <c r="AP288" s="526"/>
      <c r="AQ288" s="526"/>
      <c r="AR288" s="526"/>
      <c r="AS288" s="526"/>
      <c r="AT288" s="526"/>
      <c r="AU288" s="526"/>
      <c r="AV288" s="526"/>
      <c r="AW288" s="526"/>
      <c r="AX288" s="526"/>
      <c r="AY288" s="526"/>
      <c r="AZ288" s="526"/>
      <c r="BA288" s="526"/>
      <c r="BB288" s="526"/>
      <c r="BC288" s="526"/>
      <c r="BD288" s="526"/>
      <c r="BE288" s="526"/>
      <c r="BF288" s="526"/>
      <c r="BG288" s="526"/>
    </row>
    <row r="289" spans="1:59" s="830" customFormat="1" ht="17.25" customHeight="1" x14ac:dyDescent="0.25">
      <c r="A289" s="865"/>
      <c r="B289" s="865"/>
      <c r="C289" s="908"/>
      <c r="G289" s="865"/>
      <c r="H289" s="874"/>
      <c r="I289" s="869"/>
      <c r="J289" s="869"/>
      <c r="K289" s="869"/>
      <c r="L289" s="869"/>
      <c r="M289" s="874"/>
      <c r="O289" s="874"/>
      <c r="P289" s="874"/>
      <c r="Q289" s="874"/>
      <c r="R289" s="874"/>
      <c r="S289" s="874"/>
      <c r="T289" s="874"/>
      <c r="W289" s="874"/>
      <c r="X289" s="874"/>
      <c r="Y289" s="874"/>
      <c r="Z289" s="874"/>
      <c r="AA289" s="874"/>
      <c r="AD289" s="526"/>
      <c r="AE289" s="526"/>
      <c r="AF289" s="526"/>
      <c r="AG289" s="526"/>
      <c r="AH289" s="526"/>
      <c r="AI289" s="526"/>
      <c r="AJ289" s="526"/>
      <c r="AK289" s="526"/>
      <c r="AL289" s="526"/>
      <c r="AM289" s="526"/>
      <c r="AN289" s="526"/>
      <c r="AO289" s="526"/>
      <c r="AP289" s="526"/>
      <c r="AQ289" s="526"/>
      <c r="AR289" s="526"/>
      <c r="AS289" s="526"/>
      <c r="AT289" s="526"/>
      <c r="AU289" s="526"/>
      <c r="AV289" s="526"/>
      <c r="AW289" s="526"/>
      <c r="AX289" s="526"/>
      <c r="AY289" s="526"/>
      <c r="AZ289" s="526"/>
      <c r="BA289" s="526"/>
      <c r="BB289" s="526"/>
      <c r="BC289" s="526"/>
      <c r="BD289" s="526"/>
      <c r="BE289" s="526"/>
      <c r="BF289" s="526"/>
      <c r="BG289" s="526"/>
    </row>
    <row r="290" spans="1:59" s="830" customFormat="1" ht="17.25" customHeight="1" x14ac:dyDescent="0.25">
      <c r="A290" s="865"/>
      <c r="B290" s="865"/>
      <c r="C290" s="908"/>
      <c r="G290" s="865"/>
      <c r="H290" s="874"/>
      <c r="I290" s="869"/>
      <c r="J290" s="869"/>
      <c r="K290" s="869"/>
      <c r="L290" s="869"/>
      <c r="M290" s="874"/>
      <c r="O290" s="874"/>
      <c r="P290" s="874"/>
      <c r="Q290" s="874"/>
      <c r="R290" s="874"/>
      <c r="S290" s="874"/>
      <c r="T290" s="874"/>
      <c r="W290" s="874"/>
      <c r="X290" s="874"/>
      <c r="Y290" s="874"/>
      <c r="Z290" s="874"/>
      <c r="AA290" s="874"/>
      <c r="AD290" s="526"/>
      <c r="AE290" s="526"/>
      <c r="AF290" s="526"/>
      <c r="AG290" s="526"/>
      <c r="AH290" s="526"/>
      <c r="AI290" s="526"/>
      <c r="AJ290" s="526"/>
      <c r="AK290" s="526"/>
      <c r="AL290" s="526"/>
      <c r="AM290" s="526"/>
      <c r="AN290" s="526"/>
      <c r="AO290" s="526"/>
      <c r="AP290" s="526"/>
      <c r="AQ290" s="526"/>
      <c r="AR290" s="526"/>
      <c r="AS290" s="526"/>
      <c r="AT290" s="526"/>
      <c r="AU290" s="526"/>
      <c r="AV290" s="526"/>
      <c r="AW290" s="526"/>
      <c r="AX290" s="526"/>
      <c r="AY290" s="526"/>
      <c r="AZ290" s="526"/>
      <c r="BA290" s="526"/>
      <c r="BB290" s="526"/>
      <c r="BC290" s="526"/>
      <c r="BD290" s="526"/>
      <c r="BE290" s="526"/>
      <c r="BF290" s="526"/>
      <c r="BG290" s="526"/>
    </row>
    <row r="291" spans="1:59" s="830" customFormat="1" ht="17.25" customHeight="1" x14ac:dyDescent="0.25">
      <c r="A291" s="865"/>
      <c r="B291" s="865"/>
      <c r="C291" s="908"/>
      <c r="G291" s="865"/>
      <c r="H291" s="874"/>
      <c r="I291" s="869"/>
      <c r="J291" s="869"/>
      <c r="K291" s="869"/>
      <c r="L291" s="869"/>
      <c r="M291" s="874"/>
      <c r="O291" s="874"/>
      <c r="P291" s="874"/>
      <c r="Q291" s="874"/>
      <c r="R291" s="874"/>
      <c r="S291" s="874"/>
      <c r="T291" s="874"/>
      <c r="W291" s="874"/>
      <c r="X291" s="874"/>
      <c r="Y291" s="874"/>
      <c r="Z291" s="874"/>
      <c r="AA291" s="874"/>
      <c r="AD291" s="526"/>
      <c r="AE291" s="526"/>
      <c r="AF291" s="526"/>
      <c r="AG291" s="526"/>
      <c r="AH291" s="526"/>
      <c r="AI291" s="526"/>
      <c r="AJ291" s="526"/>
      <c r="AK291" s="526"/>
      <c r="AL291" s="526"/>
      <c r="AM291" s="526"/>
      <c r="AN291" s="526"/>
      <c r="AO291" s="526"/>
      <c r="AP291" s="526"/>
      <c r="AQ291" s="526"/>
      <c r="AR291" s="526"/>
      <c r="AS291" s="526"/>
      <c r="AT291" s="526"/>
      <c r="AU291" s="526"/>
      <c r="AV291" s="526"/>
      <c r="AW291" s="526"/>
      <c r="AX291" s="526"/>
      <c r="AY291" s="526"/>
      <c r="AZ291" s="526"/>
      <c r="BA291" s="526"/>
      <c r="BB291" s="526"/>
      <c r="BC291" s="526"/>
      <c r="BD291" s="526"/>
      <c r="BE291" s="526"/>
      <c r="BF291" s="526"/>
      <c r="BG291" s="526"/>
    </row>
    <row r="292" spans="1:59" s="830" customFormat="1" ht="17.25" customHeight="1" x14ac:dyDescent="0.25">
      <c r="A292" s="865"/>
      <c r="B292" s="865"/>
      <c r="C292" s="908"/>
      <c r="G292" s="865"/>
      <c r="H292" s="874"/>
      <c r="I292" s="869"/>
      <c r="J292" s="869"/>
      <c r="K292" s="869"/>
      <c r="L292" s="869"/>
      <c r="M292" s="874"/>
      <c r="O292" s="874"/>
      <c r="P292" s="874"/>
      <c r="Q292" s="874"/>
      <c r="R292" s="874"/>
      <c r="S292" s="874"/>
      <c r="T292" s="874"/>
      <c r="W292" s="874"/>
      <c r="X292" s="874"/>
      <c r="Y292" s="874"/>
      <c r="Z292" s="874"/>
      <c r="AA292" s="874"/>
      <c r="AD292" s="526"/>
      <c r="AE292" s="526"/>
      <c r="AF292" s="526"/>
      <c r="AG292" s="526"/>
      <c r="AH292" s="526"/>
      <c r="AI292" s="526"/>
      <c r="AJ292" s="526"/>
      <c r="AK292" s="526"/>
      <c r="AL292" s="526"/>
      <c r="AM292" s="526"/>
      <c r="AN292" s="526"/>
      <c r="AO292" s="526"/>
      <c r="AP292" s="526"/>
      <c r="AQ292" s="526"/>
      <c r="AR292" s="526"/>
      <c r="AS292" s="526"/>
      <c r="AT292" s="526"/>
      <c r="AU292" s="526"/>
      <c r="AV292" s="526"/>
      <c r="AW292" s="526"/>
      <c r="AX292" s="526"/>
      <c r="AY292" s="526"/>
      <c r="AZ292" s="526"/>
      <c r="BA292" s="526"/>
      <c r="BB292" s="526"/>
      <c r="BC292" s="526"/>
      <c r="BD292" s="526"/>
      <c r="BE292" s="526"/>
      <c r="BF292" s="526"/>
      <c r="BG292" s="526"/>
    </row>
    <row r="293" spans="1:59" s="830" customFormat="1" ht="17.25" customHeight="1" x14ac:dyDescent="0.25">
      <c r="A293" s="865"/>
      <c r="B293" s="865"/>
      <c r="C293" s="908"/>
      <c r="G293" s="865"/>
      <c r="H293" s="874"/>
      <c r="I293" s="869"/>
      <c r="J293" s="869"/>
      <c r="K293" s="869"/>
      <c r="L293" s="869"/>
      <c r="M293" s="874"/>
      <c r="O293" s="874"/>
      <c r="P293" s="874"/>
      <c r="Q293" s="874"/>
      <c r="R293" s="874"/>
      <c r="S293" s="874"/>
      <c r="T293" s="874"/>
      <c r="W293" s="874"/>
      <c r="X293" s="874"/>
      <c r="Y293" s="874"/>
      <c r="Z293" s="874"/>
      <c r="AA293" s="874"/>
      <c r="AD293" s="526"/>
      <c r="AE293" s="526"/>
      <c r="AF293" s="526"/>
      <c r="AG293" s="526"/>
      <c r="AH293" s="526"/>
      <c r="AI293" s="526"/>
      <c r="AJ293" s="526"/>
      <c r="AK293" s="526"/>
      <c r="AL293" s="526"/>
      <c r="AM293" s="526"/>
      <c r="AN293" s="526"/>
      <c r="AO293" s="526"/>
      <c r="AP293" s="526"/>
      <c r="AQ293" s="526"/>
      <c r="AR293" s="526"/>
      <c r="AS293" s="526"/>
      <c r="AT293" s="526"/>
      <c r="AU293" s="526"/>
      <c r="AV293" s="526"/>
      <c r="AW293" s="526"/>
      <c r="AX293" s="526"/>
      <c r="AY293" s="526"/>
      <c r="AZ293" s="526"/>
      <c r="BA293" s="526"/>
      <c r="BB293" s="526"/>
      <c r="BC293" s="526"/>
      <c r="BD293" s="526"/>
      <c r="BE293" s="526"/>
      <c r="BF293" s="526"/>
      <c r="BG293" s="526"/>
    </row>
    <row r="294" spans="1:59" s="830" customFormat="1" ht="17.25" customHeight="1" x14ac:dyDescent="0.25">
      <c r="A294" s="865"/>
      <c r="B294" s="865"/>
      <c r="C294" s="908"/>
      <c r="G294" s="865"/>
      <c r="H294" s="874"/>
      <c r="I294" s="869"/>
      <c r="J294" s="869"/>
      <c r="K294" s="869"/>
      <c r="L294" s="869"/>
      <c r="M294" s="874"/>
      <c r="O294" s="874"/>
      <c r="P294" s="874"/>
      <c r="Q294" s="874"/>
      <c r="R294" s="874"/>
      <c r="S294" s="874"/>
      <c r="T294" s="874"/>
      <c r="W294" s="874"/>
      <c r="X294" s="874"/>
      <c r="Y294" s="874"/>
      <c r="Z294" s="874"/>
      <c r="AA294" s="874"/>
      <c r="AD294" s="526"/>
      <c r="AE294" s="526"/>
      <c r="AF294" s="526"/>
      <c r="AG294" s="526"/>
      <c r="AH294" s="526"/>
      <c r="AI294" s="526"/>
      <c r="AJ294" s="526"/>
      <c r="AK294" s="526"/>
      <c r="AL294" s="526"/>
      <c r="AM294" s="526"/>
      <c r="AN294" s="526"/>
      <c r="AO294" s="526"/>
      <c r="AP294" s="526"/>
      <c r="AQ294" s="526"/>
      <c r="AR294" s="526"/>
      <c r="AS294" s="526"/>
      <c r="AT294" s="526"/>
      <c r="AU294" s="526"/>
      <c r="AV294" s="526"/>
      <c r="AW294" s="526"/>
      <c r="AX294" s="526"/>
      <c r="AY294" s="526"/>
      <c r="AZ294" s="526"/>
      <c r="BA294" s="526"/>
      <c r="BB294" s="526"/>
      <c r="BC294" s="526"/>
      <c r="BD294" s="526"/>
      <c r="BE294" s="526"/>
      <c r="BF294" s="526"/>
      <c r="BG294" s="526"/>
    </row>
    <row r="295" spans="1:59" s="830" customFormat="1" ht="17.25" customHeight="1" x14ac:dyDescent="0.25">
      <c r="A295" s="865"/>
      <c r="B295" s="865"/>
      <c r="C295" s="908"/>
      <c r="G295" s="865"/>
      <c r="H295" s="874"/>
      <c r="I295" s="869"/>
      <c r="J295" s="869"/>
      <c r="K295" s="869"/>
      <c r="L295" s="869"/>
      <c r="M295" s="874"/>
      <c r="O295" s="874"/>
      <c r="P295" s="874"/>
      <c r="Q295" s="874"/>
      <c r="R295" s="874"/>
      <c r="S295" s="874"/>
      <c r="T295" s="874"/>
      <c r="W295" s="874"/>
      <c r="X295" s="874"/>
      <c r="Y295" s="874"/>
      <c r="Z295" s="874"/>
      <c r="AA295" s="874"/>
      <c r="AD295" s="526"/>
      <c r="AE295" s="526"/>
      <c r="AF295" s="526"/>
      <c r="AG295" s="526"/>
      <c r="AH295" s="526"/>
      <c r="AI295" s="526"/>
      <c r="AJ295" s="526"/>
      <c r="AK295" s="526"/>
      <c r="AL295" s="526"/>
      <c r="AM295" s="526"/>
      <c r="AN295" s="526"/>
      <c r="AO295" s="526"/>
      <c r="AP295" s="526"/>
      <c r="AQ295" s="526"/>
      <c r="AR295" s="526"/>
      <c r="AS295" s="526"/>
      <c r="AT295" s="526"/>
      <c r="AU295" s="526"/>
      <c r="AV295" s="526"/>
      <c r="AW295" s="526"/>
      <c r="AX295" s="526"/>
      <c r="AY295" s="526"/>
      <c r="AZ295" s="526"/>
      <c r="BA295" s="526"/>
      <c r="BB295" s="526"/>
      <c r="BC295" s="526"/>
      <c r="BD295" s="526"/>
      <c r="BE295" s="526"/>
      <c r="BF295" s="526"/>
      <c r="BG295" s="526"/>
    </row>
    <row r="296" spans="1:59" s="830" customFormat="1" ht="17.25" customHeight="1" x14ac:dyDescent="0.25">
      <c r="A296" s="865"/>
      <c r="B296" s="865"/>
      <c r="C296" s="908"/>
      <c r="G296" s="865"/>
      <c r="H296" s="874"/>
      <c r="I296" s="869"/>
      <c r="J296" s="869"/>
      <c r="K296" s="869"/>
      <c r="L296" s="869"/>
      <c r="M296" s="874"/>
      <c r="O296" s="874"/>
      <c r="P296" s="874"/>
      <c r="Q296" s="874"/>
      <c r="R296" s="874"/>
      <c r="S296" s="874"/>
      <c r="T296" s="874"/>
      <c r="W296" s="874"/>
      <c r="X296" s="874"/>
      <c r="Y296" s="874"/>
      <c r="Z296" s="874"/>
      <c r="AA296" s="874"/>
      <c r="AD296" s="526"/>
      <c r="AE296" s="526"/>
      <c r="AF296" s="526"/>
      <c r="AG296" s="526"/>
      <c r="AH296" s="526"/>
      <c r="AI296" s="526"/>
      <c r="AJ296" s="526"/>
      <c r="AK296" s="526"/>
      <c r="AL296" s="526"/>
      <c r="AM296" s="526"/>
      <c r="AN296" s="526"/>
      <c r="AO296" s="526"/>
      <c r="AP296" s="526"/>
      <c r="AQ296" s="526"/>
      <c r="AR296" s="526"/>
      <c r="AS296" s="526"/>
      <c r="AT296" s="526"/>
      <c r="AU296" s="526"/>
      <c r="AV296" s="526"/>
      <c r="AW296" s="526"/>
      <c r="AX296" s="526"/>
      <c r="AY296" s="526"/>
      <c r="AZ296" s="526"/>
      <c r="BA296" s="526"/>
      <c r="BB296" s="526"/>
      <c r="BC296" s="526"/>
      <c r="BD296" s="526"/>
      <c r="BE296" s="526"/>
      <c r="BF296" s="526"/>
      <c r="BG296" s="526"/>
    </row>
    <row r="297" spans="1:59" s="830" customFormat="1" ht="17.25" customHeight="1" x14ac:dyDescent="0.25">
      <c r="A297" s="865"/>
      <c r="B297" s="865"/>
      <c r="C297" s="908"/>
      <c r="G297" s="865"/>
      <c r="H297" s="874"/>
      <c r="I297" s="869"/>
      <c r="J297" s="869"/>
      <c r="K297" s="869"/>
      <c r="L297" s="869"/>
      <c r="M297" s="874"/>
      <c r="O297" s="874"/>
      <c r="P297" s="874"/>
      <c r="Q297" s="874"/>
      <c r="R297" s="874"/>
      <c r="S297" s="874"/>
      <c r="T297" s="874"/>
      <c r="W297" s="874"/>
      <c r="X297" s="874"/>
      <c r="Y297" s="874"/>
      <c r="Z297" s="874"/>
      <c r="AA297" s="874"/>
      <c r="AD297" s="526"/>
      <c r="AE297" s="526"/>
      <c r="AF297" s="526"/>
      <c r="AG297" s="526"/>
      <c r="AH297" s="526"/>
      <c r="AI297" s="526"/>
      <c r="AJ297" s="526"/>
      <c r="AK297" s="526"/>
      <c r="AL297" s="526"/>
      <c r="AM297" s="526"/>
      <c r="AN297" s="526"/>
      <c r="AO297" s="526"/>
      <c r="AP297" s="526"/>
      <c r="AQ297" s="526"/>
      <c r="AR297" s="526"/>
      <c r="AS297" s="526"/>
      <c r="AT297" s="526"/>
      <c r="AU297" s="526"/>
      <c r="AV297" s="526"/>
      <c r="AW297" s="526"/>
      <c r="AX297" s="526"/>
      <c r="AY297" s="526"/>
      <c r="AZ297" s="526"/>
      <c r="BA297" s="526"/>
      <c r="BB297" s="526"/>
      <c r="BC297" s="526"/>
      <c r="BD297" s="526"/>
      <c r="BE297" s="526"/>
      <c r="BF297" s="526"/>
      <c r="BG297" s="526"/>
    </row>
    <row r="298" spans="1:59" s="830" customFormat="1" ht="17.25" customHeight="1" x14ac:dyDescent="0.25">
      <c r="A298" s="865"/>
      <c r="B298" s="865"/>
      <c r="C298" s="908"/>
      <c r="G298" s="865"/>
      <c r="H298" s="874"/>
      <c r="I298" s="869"/>
      <c r="J298" s="869"/>
      <c r="K298" s="869"/>
      <c r="L298" s="869"/>
      <c r="M298" s="874"/>
      <c r="O298" s="874"/>
      <c r="P298" s="874"/>
      <c r="Q298" s="874"/>
      <c r="R298" s="874"/>
      <c r="S298" s="874"/>
      <c r="T298" s="874"/>
      <c r="W298" s="874"/>
      <c r="X298" s="874"/>
      <c r="Y298" s="874"/>
      <c r="Z298" s="874"/>
      <c r="AA298" s="874"/>
      <c r="AD298" s="526"/>
      <c r="AE298" s="526"/>
      <c r="AF298" s="526"/>
      <c r="AG298" s="526"/>
      <c r="AH298" s="526"/>
      <c r="AI298" s="526"/>
      <c r="AJ298" s="526"/>
      <c r="AK298" s="526"/>
      <c r="AL298" s="526"/>
      <c r="AM298" s="526"/>
      <c r="AN298" s="526"/>
      <c r="AO298" s="526"/>
      <c r="AP298" s="526"/>
      <c r="AQ298" s="526"/>
      <c r="AR298" s="526"/>
      <c r="AS298" s="526"/>
      <c r="AT298" s="526"/>
      <c r="AU298" s="526"/>
      <c r="AV298" s="526"/>
      <c r="AW298" s="526"/>
      <c r="AX298" s="526"/>
      <c r="AY298" s="526"/>
      <c r="AZ298" s="526"/>
      <c r="BA298" s="526"/>
      <c r="BB298" s="526"/>
      <c r="BC298" s="526"/>
      <c r="BD298" s="526"/>
      <c r="BE298" s="526"/>
      <c r="BF298" s="526"/>
      <c r="BG298" s="526"/>
    </row>
    <row r="299" spans="1:59" s="830" customFormat="1" ht="17.25" customHeight="1" x14ac:dyDescent="0.25">
      <c r="A299" s="865"/>
      <c r="B299" s="865"/>
      <c r="C299" s="908"/>
      <c r="G299" s="865"/>
      <c r="H299" s="874"/>
      <c r="I299" s="869"/>
      <c r="J299" s="869"/>
      <c r="K299" s="869"/>
      <c r="L299" s="869"/>
      <c r="M299" s="874"/>
      <c r="O299" s="874"/>
      <c r="P299" s="874"/>
      <c r="Q299" s="874"/>
      <c r="R299" s="874"/>
      <c r="S299" s="874"/>
      <c r="T299" s="874"/>
      <c r="W299" s="874"/>
      <c r="X299" s="874"/>
      <c r="Y299" s="874"/>
      <c r="Z299" s="874"/>
      <c r="AA299" s="874"/>
      <c r="AD299" s="526"/>
      <c r="AE299" s="526"/>
      <c r="AF299" s="526"/>
      <c r="AG299" s="526"/>
      <c r="AH299" s="526"/>
      <c r="AI299" s="526"/>
      <c r="AJ299" s="526"/>
      <c r="AK299" s="526"/>
      <c r="AL299" s="526"/>
      <c r="AM299" s="526"/>
      <c r="AN299" s="526"/>
      <c r="AO299" s="526"/>
      <c r="AP299" s="526"/>
      <c r="AQ299" s="526"/>
      <c r="AR299" s="526"/>
      <c r="AS299" s="526"/>
      <c r="AT299" s="526"/>
      <c r="AU299" s="526"/>
      <c r="AV299" s="526"/>
      <c r="AW299" s="526"/>
      <c r="AX299" s="526"/>
      <c r="AY299" s="526"/>
      <c r="AZ299" s="526"/>
      <c r="BA299" s="526"/>
      <c r="BB299" s="526"/>
      <c r="BC299" s="526"/>
      <c r="BD299" s="526"/>
      <c r="BE299" s="526"/>
      <c r="BF299" s="526"/>
      <c r="BG299" s="526"/>
    </row>
    <row r="300" spans="1:59" s="830" customFormat="1" ht="17.25" customHeight="1" x14ac:dyDescent="0.25">
      <c r="A300" s="865"/>
      <c r="B300" s="865"/>
      <c r="C300" s="908"/>
      <c r="G300" s="865"/>
      <c r="H300" s="874"/>
      <c r="I300" s="869"/>
      <c r="J300" s="869"/>
      <c r="K300" s="869"/>
      <c r="L300" s="869"/>
      <c r="M300" s="874"/>
      <c r="O300" s="874"/>
      <c r="P300" s="874"/>
      <c r="Q300" s="874"/>
      <c r="R300" s="874"/>
      <c r="S300" s="874"/>
      <c r="T300" s="874"/>
      <c r="W300" s="874"/>
      <c r="X300" s="874"/>
      <c r="Y300" s="874"/>
      <c r="Z300" s="874"/>
      <c r="AA300" s="874"/>
      <c r="AD300" s="526"/>
      <c r="AE300" s="526"/>
      <c r="AF300" s="526"/>
      <c r="AG300" s="526"/>
      <c r="AH300" s="526"/>
      <c r="AI300" s="526"/>
      <c r="AJ300" s="526"/>
      <c r="AK300" s="526"/>
      <c r="AL300" s="526"/>
      <c r="AM300" s="526"/>
      <c r="AN300" s="526"/>
      <c r="AO300" s="526"/>
      <c r="AP300" s="526"/>
      <c r="AQ300" s="526"/>
      <c r="AR300" s="526"/>
      <c r="AS300" s="526"/>
      <c r="AT300" s="526"/>
      <c r="AU300" s="526"/>
      <c r="AV300" s="526"/>
      <c r="AW300" s="526"/>
      <c r="AX300" s="526"/>
      <c r="AY300" s="526"/>
      <c r="AZ300" s="526"/>
      <c r="BA300" s="526"/>
      <c r="BB300" s="526"/>
      <c r="BC300" s="526"/>
      <c r="BD300" s="526"/>
      <c r="BE300" s="526"/>
      <c r="BF300" s="526"/>
      <c r="BG300" s="526"/>
    </row>
    <row r="301" spans="1:59" s="830" customFormat="1" ht="17.25" customHeight="1" x14ac:dyDescent="0.25">
      <c r="A301" s="865"/>
      <c r="B301" s="865"/>
      <c r="C301" s="908"/>
      <c r="G301" s="865"/>
      <c r="H301" s="874"/>
      <c r="I301" s="869"/>
      <c r="J301" s="869"/>
      <c r="K301" s="869"/>
      <c r="L301" s="869"/>
      <c r="M301" s="874"/>
      <c r="O301" s="874"/>
      <c r="P301" s="874"/>
      <c r="Q301" s="874"/>
      <c r="R301" s="874"/>
      <c r="S301" s="874"/>
      <c r="T301" s="874"/>
      <c r="W301" s="874"/>
      <c r="X301" s="874"/>
      <c r="Y301" s="874"/>
      <c r="Z301" s="874"/>
      <c r="AA301" s="874"/>
      <c r="AD301" s="526"/>
      <c r="AE301" s="526"/>
      <c r="AF301" s="526"/>
      <c r="AG301" s="526"/>
      <c r="AH301" s="526"/>
      <c r="AI301" s="526"/>
      <c r="AJ301" s="526"/>
      <c r="AK301" s="526"/>
      <c r="AL301" s="526"/>
      <c r="AM301" s="526"/>
      <c r="AN301" s="526"/>
      <c r="AO301" s="526"/>
      <c r="AP301" s="526"/>
      <c r="AQ301" s="526"/>
      <c r="AR301" s="526"/>
      <c r="AS301" s="526"/>
      <c r="AT301" s="526"/>
      <c r="AU301" s="526"/>
      <c r="AV301" s="526"/>
      <c r="AW301" s="526"/>
      <c r="AX301" s="526"/>
      <c r="AY301" s="526"/>
      <c r="AZ301" s="526"/>
      <c r="BA301" s="526"/>
      <c r="BB301" s="526"/>
      <c r="BC301" s="526"/>
      <c r="BD301" s="526"/>
      <c r="BE301" s="526"/>
      <c r="BF301" s="526"/>
      <c r="BG301" s="526"/>
    </row>
    <row r="302" spans="1:59" s="830" customFormat="1" ht="17.25" customHeight="1" x14ac:dyDescent="0.25">
      <c r="A302" s="865"/>
      <c r="B302" s="865"/>
      <c r="C302" s="908"/>
      <c r="G302" s="865"/>
      <c r="H302" s="874"/>
      <c r="I302" s="869"/>
      <c r="J302" s="869"/>
      <c r="K302" s="869"/>
      <c r="L302" s="869"/>
      <c r="M302" s="874"/>
      <c r="O302" s="874"/>
      <c r="P302" s="874"/>
      <c r="Q302" s="874"/>
      <c r="R302" s="874"/>
      <c r="S302" s="874"/>
      <c r="T302" s="874"/>
      <c r="W302" s="874"/>
      <c r="X302" s="874"/>
      <c r="Y302" s="874"/>
      <c r="Z302" s="874"/>
      <c r="AA302" s="874"/>
      <c r="AD302" s="526"/>
      <c r="AE302" s="526"/>
      <c r="AF302" s="526"/>
      <c r="AG302" s="526"/>
      <c r="AH302" s="526"/>
      <c r="AI302" s="526"/>
      <c r="AJ302" s="526"/>
      <c r="AK302" s="526"/>
      <c r="AL302" s="526"/>
      <c r="AM302" s="526"/>
      <c r="AN302" s="526"/>
      <c r="AO302" s="526"/>
      <c r="AP302" s="526"/>
      <c r="AQ302" s="526"/>
      <c r="AR302" s="526"/>
      <c r="AS302" s="526"/>
      <c r="AT302" s="526"/>
      <c r="AU302" s="526"/>
      <c r="AV302" s="526"/>
      <c r="AW302" s="526"/>
      <c r="AX302" s="526"/>
      <c r="AY302" s="526"/>
      <c r="AZ302" s="526"/>
      <c r="BA302" s="526"/>
      <c r="BB302" s="526"/>
      <c r="BC302" s="526"/>
      <c r="BD302" s="526"/>
      <c r="BE302" s="526"/>
      <c r="BF302" s="526"/>
      <c r="BG302" s="526"/>
    </row>
    <row r="303" spans="1:59" s="830" customFormat="1" ht="17.25" customHeight="1" x14ac:dyDescent="0.25">
      <c r="A303" s="865"/>
      <c r="B303" s="865"/>
      <c r="C303" s="908"/>
      <c r="G303" s="865"/>
      <c r="H303" s="874"/>
      <c r="I303" s="869"/>
      <c r="J303" s="869"/>
      <c r="K303" s="869"/>
      <c r="L303" s="869"/>
      <c r="M303" s="874"/>
      <c r="O303" s="874"/>
      <c r="P303" s="874"/>
      <c r="Q303" s="874"/>
      <c r="R303" s="874"/>
      <c r="S303" s="874"/>
      <c r="T303" s="874"/>
      <c r="W303" s="874"/>
      <c r="X303" s="874"/>
      <c r="Y303" s="874"/>
      <c r="Z303" s="874"/>
      <c r="AA303" s="874"/>
      <c r="AD303" s="526"/>
      <c r="AE303" s="526"/>
      <c r="AF303" s="526"/>
      <c r="AG303" s="526"/>
      <c r="AH303" s="526"/>
      <c r="AI303" s="526"/>
      <c r="AJ303" s="526"/>
      <c r="AK303" s="526"/>
      <c r="AL303" s="526"/>
      <c r="AM303" s="526"/>
      <c r="AN303" s="526"/>
      <c r="AO303" s="526"/>
      <c r="AP303" s="526"/>
      <c r="AQ303" s="526"/>
      <c r="AR303" s="526"/>
      <c r="AS303" s="526"/>
      <c r="AT303" s="526"/>
      <c r="AU303" s="526"/>
      <c r="AV303" s="526"/>
      <c r="AW303" s="526"/>
      <c r="AX303" s="526"/>
      <c r="AY303" s="526"/>
      <c r="AZ303" s="526"/>
      <c r="BA303" s="526"/>
      <c r="BB303" s="526"/>
      <c r="BC303" s="526"/>
      <c r="BD303" s="526"/>
      <c r="BE303" s="526"/>
      <c r="BF303" s="526"/>
      <c r="BG303" s="526"/>
    </row>
    <row r="304" spans="1:59" s="830" customFormat="1" ht="17.25" customHeight="1" x14ac:dyDescent="0.25">
      <c r="A304" s="865"/>
      <c r="B304" s="865"/>
      <c r="C304" s="908"/>
      <c r="G304" s="865"/>
      <c r="H304" s="874"/>
      <c r="I304" s="869"/>
      <c r="J304" s="869"/>
      <c r="K304" s="869"/>
      <c r="L304" s="869"/>
      <c r="M304" s="874"/>
      <c r="O304" s="874"/>
      <c r="P304" s="874"/>
      <c r="Q304" s="874"/>
      <c r="R304" s="874"/>
      <c r="S304" s="874"/>
      <c r="T304" s="874"/>
      <c r="W304" s="874"/>
      <c r="X304" s="874"/>
      <c r="Y304" s="874"/>
      <c r="Z304" s="874"/>
      <c r="AA304" s="874"/>
      <c r="AD304" s="526"/>
      <c r="AE304" s="526"/>
      <c r="AF304" s="526"/>
      <c r="AG304" s="526"/>
      <c r="AH304" s="526"/>
      <c r="AI304" s="526"/>
      <c r="AJ304" s="526"/>
      <c r="AK304" s="526"/>
      <c r="AL304" s="526"/>
      <c r="AM304" s="526"/>
      <c r="AN304" s="526"/>
      <c r="AO304" s="526"/>
      <c r="AP304" s="526"/>
      <c r="AQ304" s="526"/>
      <c r="AR304" s="526"/>
      <c r="AS304" s="526"/>
      <c r="AT304" s="526"/>
      <c r="AU304" s="526"/>
      <c r="AV304" s="526"/>
      <c r="AW304" s="526"/>
      <c r="AX304" s="526"/>
      <c r="AY304" s="526"/>
      <c r="AZ304" s="526"/>
      <c r="BA304" s="526"/>
      <c r="BB304" s="526"/>
      <c r="BC304" s="526"/>
      <c r="BD304" s="526"/>
      <c r="BE304" s="526"/>
      <c r="BF304" s="526"/>
      <c r="BG304" s="526"/>
    </row>
    <row r="305" spans="1:59" s="830" customFormat="1" ht="17.25" customHeight="1" x14ac:dyDescent="0.25">
      <c r="A305" s="865"/>
      <c r="B305" s="865"/>
      <c r="C305" s="908"/>
      <c r="G305" s="865"/>
      <c r="H305" s="874"/>
      <c r="I305" s="869"/>
      <c r="J305" s="869"/>
      <c r="K305" s="869"/>
      <c r="L305" s="869"/>
      <c r="M305" s="874"/>
      <c r="O305" s="874"/>
      <c r="P305" s="874"/>
      <c r="Q305" s="874"/>
      <c r="R305" s="874"/>
      <c r="S305" s="874"/>
      <c r="T305" s="874"/>
      <c r="W305" s="874"/>
      <c r="X305" s="874"/>
      <c r="Y305" s="874"/>
      <c r="Z305" s="874"/>
      <c r="AA305" s="874"/>
      <c r="AD305" s="526"/>
      <c r="AE305" s="526"/>
      <c r="AF305" s="526"/>
      <c r="AG305" s="526"/>
      <c r="AH305" s="526"/>
      <c r="AI305" s="526"/>
      <c r="AJ305" s="526"/>
      <c r="AK305" s="526"/>
      <c r="AL305" s="526"/>
      <c r="AM305" s="526"/>
      <c r="AN305" s="526"/>
      <c r="AO305" s="526"/>
      <c r="AP305" s="526"/>
      <c r="AQ305" s="526"/>
      <c r="AR305" s="526"/>
      <c r="AS305" s="526"/>
      <c r="AT305" s="526"/>
      <c r="AU305" s="526"/>
      <c r="AV305" s="526"/>
      <c r="AW305" s="526"/>
      <c r="AX305" s="526"/>
      <c r="AY305" s="526"/>
      <c r="AZ305" s="526"/>
      <c r="BA305" s="526"/>
      <c r="BB305" s="526"/>
      <c r="BC305" s="526"/>
      <c r="BD305" s="526"/>
      <c r="BE305" s="526"/>
      <c r="BF305" s="526"/>
      <c r="BG305" s="526"/>
    </row>
    <row r="306" spans="1:59" s="830" customFormat="1" ht="17.25" customHeight="1" x14ac:dyDescent="0.25">
      <c r="A306" s="865"/>
      <c r="B306" s="865"/>
      <c r="C306" s="908"/>
      <c r="G306" s="865"/>
      <c r="H306" s="874"/>
      <c r="I306" s="869"/>
      <c r="J306" s="869"/>
      <c r="K306" s="869"/>
      <c r="L306" s="869"/>
      <c r="M306" s="874"/>
      <c r="O306" s="874"/>
      <c r="P306" s="874"/>
      <c r="Q306" s="874"/>
      <c r="R306" s="874"/>
      <c r="S306" s="874"/>
      <c r="T306" s="874"/>
      <c r="W306" s="874"/>
      <c r="X306" s="874"/>
      <c r="Y306" s="874"/>
      <c r="Z306" s="874"/>
      <c r="AA306" s="874"/>
      <c r="AD306" s="526"/>
      <c r="AE306" s="526"/>
      <c r="AF306" s="526"/>
      <c r="AG306" s="526"/>
      <c r="AH306" s="526"/>
      <c r="AI306" s="526"/>
      <c r="AJ306" s="526"/>
      <c r="AK306" s="526"/>
      <c r="AL306" s="526"/>
      <c r="AM306" s="526"/>
      <c r="AN306" s="526"/>
      <c r="AO306" s="526"/>
      <c r="AP306" s="526"/>
      <c r="AQ306" s="526"/>
      <c r="AR306" s="526"/>
      <c r="AS306" s="526"/>
      <c r="AT306" s="526"/>
      <c r="AU306" s="526"/>
      <c r="AV306" s="526"/>
      <c r="AW306" s="526"/>
      <c r="AX306" s="526"/>
      <c r="AY306" s="526"/>
      <c r="AZ306" s="526"/>
      <c r="BA306" s="526"/>
      <c r="BB306" s="526"/>
      <c r="BC306" s="526"/>
      <c r="BD306" s="526"/>
      <c r="BE306" s="526"/>
      <c r="BF306" s="526"/>
      <c r="BG306" s="526"/>
    </row>
    <row r="307" spans="1:59" s="830" customFormat="1" ht="17.25" customHeight="1" x14ac:dyDescent="0.25">
      <c r="A307" s="865"/>
      <c r="B307" s="865"/>
      <c r="C307" s="908"/>
      <c r="G307" s="865"/>
      <c r="H307" s="874"/>
      <c r="I307" s="869"/>
      <c r="J307" s="869"/>
      <c r="K307" s="869"/>
      <c r="L307" s="869"/>
      <c r="M307" s="874"/>
      <c r="O307" s="874"/>
      <c r="P307" s="874"/>
      <c r="Q307" s="874"/>
      <c r="R307" s="874"/>
      <c r="S307" s="874"/>
      <c r="T307" s="874"/>
      <c r="W307" s="874"/>
      <c r="X307" s="874"/>
      <c r="Y307" s="874"/>
      <c r="Z307" s="874"/>
      <c r="AA307" s="874"/>
      <c r="AD307" s="526"/>
      <c r="AE307" s="526"/>
      <c r="AF307" s="526"/>
      <c r="AG307" s="526"/>
      <c r="AH307" s="526"/>
      <c r="AI307" s="526"/>
      <c r="AJ307" s="526"/>
      <c r="AK307" s="526"/>
      <c r="AL307" s="526"/>
      <c r="AM307" s="526"/>
      <c r="AN307" s="526"/>
      <c r="AO307" s="526"/>
      <c r="AP307" s="526"/>
      <c r="AQ307" s="526"/>
      <c r="AR307" s="526"/>
      <c r="AS307" s="526"/>
      <c r="AT307" s="526"/>
      <c r="AU307" s="526"/>
      <c r="AV307" s="526"/>
      <c r="AW307" s="526"/>
      <c r="AX307" s="526"/>
      <c r="AY307" s="526"/>
      <c r="AZ307" s="526"/>
      <c r="BA307" s="526"/>
      <c r="BB307" s="526"/>
      <c r="BC307" s="526"/>
      <c r="BD307" s="526"/>
      <c r="BE307" s="526"/>
      <c r="BF307" s="526"/>
      <c r="BG307" s="526"/>
    </row>
    <row r="308" spans="1:59" s="830" customFormat="1" ht="17.25" customHeight="1" x14ac:dyDescent="0.25">
      <c r="A308" s="865"/>
      <c r="B308" s="865"/>
      <c r="C308" s="908"/>
      <c r="G308" s="865"/>
      <c r="H308" s="874"/>
      <c r="I308" s="869"/>
      <c r="J308" s="869"/>
      <c r="K308" s="869"/>
      <c r="L308" s="869"/>
      <c r="M308" s="874"/>
      <c r="O308" s="874"/>
      <c r="P308" s="874"/>
      <c r="Q308" s="874"/>
      <c r="R308" s="874"/>
      <c r="S308" s="874"/>
      <c r="T308" s="874"/>
      <c r="W308" s="874"/>
      <c r="X308" s="874"/>
      <c r="Y308" s="874"/>
      <c r="Z308" s="874"/>
      <c r="AA308" s="874"/>
      <c r="AD308" s="526"/>
      <c r="AE308" s="526"/>
      <c r="AF308" s="526"/>
      <c r="AG308" s="526"/>
      <c r="AH308" s="526"/>
      <c r="AI308" s="526"/>
      <c r="AJ308" s="526"/>
      <c r="AK308" s="526"/>
      <c r="AL308" s="526"/>
      <c r="AM308" s="526"/>
      <c r="AN308" s="526"/>
      <c r="AO308" s="526"/>
      <c r="AP308" s="526"/>
      <c r="AQ308" s="526"/>
      <c r="AR308" s="526"/>
      <c r="AS308" s="526"/>
      <c r="AT308" s="526"/>
      <c r="AU308" s="526"/>
      <c r="AV308" s="526"/>
      <c r="AW308" s="526"/>
      <c r="AX308" s="526"/>
      <c r="AY308" s="526"/>
      <c r="AZ308" s="526"/>
      <c r="BA308" s="526"/>
      <c r="BB308" s="526"/>
      <c r="BC308" s="526"/>
      <c r="BD308" s="526"/>
      <c r="BE308" s="526"/>
      <c r="BF308" s="526"/>
      <c r="BG308" s="526"/>
    </row>
    <row r="309" spans="1:59" s="830" customFormat="1" ht="17.25" customHeight="1" x14ac:dyDescent="0.25">
      <c r="A309" s="865"/>
      <c r="B309" s="865"/>
      <c r="C309" s="908"/>
      <c r="G309" s="865"/>
      <c r="H309" s="874"/>
      <c r="I309" s="869"/>
      <c r="J309" s="869"/>
      <c r="K309" s="869"/>
      <c r="L309" s="869"/>
      <c r="M309" s="874"/>
      <c r="O309" s="874"/>
      <c r="P309" s="874"/>
      <c r="Q309" s="874"/>
      <c r="R309" s="874"/>
      <c r="S309" s="874"/>
      <c r="T309" s="874"/>
      <c r="W309" s="874"/>
      <c r="X309" s="874"/>
      <c r="Y309" s="874"/>
      <c r="Z309" s="874"/>
      <c r="AA309" s="874"/>
      <c r="AD309" s="526"/>
      <c r="AE309" s="526"/>
      <c r="AF309" s="526"/>
      <c r="AG309" s="526"/>
      <c r="AH309" s="526"/>
      <c r="AI309" s="526"/>
      <c r="AJ309" s="526"/>
      <c r="AK309" s="526"/>
      <c r="AL309" s="526"/>
      <c r="AM309" s="526"/>
      <c r="AN309" s="526"/>
      <c r="AO309" s="526"/>
      <c r="AP309" s="526"/>
      <c r="AQ309" s="526"/>
      <c r="AR309" s="526"/>
      <c r="AS309" s="526"/>
      <c r="AT309" s="526"/>
      <c r="AU309" s="526"/>
      <c r="AV309" s="526"/>
      <c r="AW309" s="526"/>
      <c r="AX309" s="526"/>
      <c r="AY309" s="526"/>
      <c r="AZ309" s="526"/>
      <c r="BA309" s="526"/>
      <c r="BB309" s="526"/>
      <c r="BC309" s="526"/>
      <c r="BD309" s="526"/>
      <c r="BE309" s="526"/>
      <c r="BF309" s="526"/>
      <c r="BG309" s="526"/>
    </row>
    <row r="310" spans="1:59" s="830" customFormat="1" ht="17.25" customHeight="1" x14ac:dyDescent="0.25">
      <c r="A310" s="865"/>
      <c r="B310" s="865"/>
      <c r="C310" s="908"/>
      <c r="G310" s="865"/>
      <c r="H310" s="874"/>
      <c r="I310" s="869"/>
      <c r="J310" s="869"/>
      <c r="K310" s="869"/>
      <c r="L310" s="869"/>
      <c r="M310" s="874"/>
      <c r="O310" s="874"/>
      <c r="P310" s="874"/>
      <c r="Q310" s="874"/>
      <c r="R310" s="874"/>
      <c r="S310" s="874"/>
      <c r="T310" s="874"/>
      <c r="W310" s="874"/>
      <c r="X310" s="874"/>
      <c r="Y310" s="874"/>
      <c r="Z310" s="874"/>
      <c r="AA310" s="874"/>
      <c r="AD310" s="526"/>
      <c r="AE310" s="526"/>
      <c r="AF310" s="526"/>
      <c r="AG310" s="526"/>
      <c r="AH310" s="526"/>
      <c r="AI310" s="526"/>
      <c r="AJ310" s="526"/>
      <c r="AK310" s="526"/>
      <c r="AL310" s="526"/>
      <c r="AM310" s="526"/>
      <c r="AN310" s="526"/>
      <c r="AO310" s="526"/>
      <c r="AP310" s="526"/>
      <c r="AQ310" s="526"/>
      <c r="AR310" s="526"/>
      <c r="AS310" s="526"/>
      <c r="AT310" s="526"/>
      <c r="AU310" s="526"/>
      <c r="AV310" s="526"/>
      <c r="AW310" s="526"/>
      <c r="AX310" s="526"/>
      <c r="AY310" s="526"/>
      <c r="AZ310" s="526"/>
      <c r="BA310" s="526"/>
      <c r="BB310" s="526"/>
      <c r="BC310" s="526"/>
      <c r="BD310" s="526"/>
      <c r="BE310" s="526"/>
      <c r="BF310" s="526"/>
      <c r="BG310" s="526"/>
    </row>
    <row r="311" spans="1:59" s="830" customFormat="1" ht="17.25" customHeight="1" x14ac:dyDescent="0.25">
      <c r="A311" s="865"/>
      <c r="B311" s="865"/>
      <c r="C311" s="908"/>
      <c r="G311" s="865"/>
      <c r="H311" s="874"/>
      <c r="I311" s="869"/>
      <c r="J311" s="869"/>
      <c r="K311" s="869"/>
      <c r="L311" s="869"/>
      <c r="M311" s="874"/>
      <c r="O311" s="874"/>
      <c r="P311" s="874"/>
      <c r="Q311" s="874"/>
      <c r="R311" s="874"/>
      <c r="S311" s="874"/>
      <c r="T311" s="874"/>
      <c r="W311" s="874"/>
      <c r="X311" s="874"/>
      <c r="Y311" s="874"/>
      <c r="Z311" s="874"/>
      <c r="AA311" s="874"/>
      <c r="AD311" s="526"/>
      <c r="AE311" s="526"/>
      <c r="AF311" s="526"/>
      <c r="AG311" s="526"/>
      <c r="AH311" s="526"/>
      <c r="AI311" s="526"/>
      <c r="AJ311" s="526"/>
      <c r="AK311" s="526"/>
      <c r="AL311" s="526"/>
      <c r="AM311" s="526"/>
      <c r="AN311" s="526"/>
      <c r="AO311" s="526"/>
      <c r="AP311" s="526"/>
      <c r="AQ311" s="526"/>
      <c r="AR311" s="526"/>
      <c r="AS311" s="526"/>
      <c r="AT311" s="526"/>
      <c r="AU311" s="526"/>
      <c r="AV311" s="526"/>
      <c r="AW311" s="526"/>
      <c r="AX311" s="526"/>
      <c r="AY311" s="526"/>
      <c r="AZ311" s="526"/>
      <c r="BA311" s="526"/>
      <c r="BB311" s="526"/>
      <c r="BC311" s="526"/>
      <c r="BD311" s="526"/>
      <c r="BE311" s="526"/>
      <c r="BF311" s="526"/>
      <c r="BG311" s="526"/>
    </row>
    <row r="312" spans="1:59" s="830" customFormat="1" ht="17.25" customHeight="1" x14ac:dyDescent="0.25">
      <c r="A312" s="865"/>
      <c r="B312" s="865"/>
      <c r="C312" s="908"/>
      <c r="G312" s="865"/>
      <c r="H312" s="874"/>
      <c r="I312" s="869"/>
      <c r="J312" s="869"/>
      <c r="K312" s="869"/>
      <c r="L312" s="869"/>
      <c r="M312" s="874"/>
      <c r="O312" s="874"/>
      <c r="P312" s="874"/>
      <c r="Q312" s="874"/>
      <c r="R312" s="874"/>
      <c r="S312" s="874"/>
      <c r="T312" s="874"/>
      <c r="W312" s="874"/>
      <c r="X312" s="874"/>
      <c r="Y312" s="874"/>
      <c r="Z312" s="874"/>
      <c r="AA312" s="874"/>
      <c r="AD312" s="526"/>
      <c r="AE312" s="526"/>
      <c r="AF312" s="526"/>
      <c r="AG312" s="526"/>
      <c r="AH312" s="526"/>
      <c r="AI312" s="526"/>
      <c r="AJ312" s="526"/>
      <c r="AK312" s="526"/>
      <c r="AL312" s="526"/>
      <c r="AM312" s="526"/>
      <c r="AN312" s="526"/>
      <c r="AO312" s="526"/>
      <c r="AP312" s="526"/>
      <c r="AQ312" s="526"/>
      <c r="AR312" s="526"/>
      <c r="AS312" s="526"/>
      <c r="AT312" s="526"/>
      <c r="AU312" s="526"/>
      <c r="AV312" s="526"/>
      <c r="AW312" s="526"/>
      <c r="AX312" s="526"/>
      <c r="AY312" s="526"/>
      <c r="AZ312" s="526"/>
      <c r="BA312" s="526"/>
      <c r="BB312" s="526"/>
      <c r="BC312" s="526"/>
      <c r="BD312" s="526"/>
      <c r="BE312" s="526"/>
      <c r="BF312" s="526"/>
      <c r="BG312" s="526"/>
    </row>
    <row r="313" spans="1:59" s="830" customFormat="1" ht="17.25" customHeight="1" x14ac:dyDescent="0.25">
      <c r="A313" s="865"/>
      <c r="B313" s="865"/>
      <c r="C313" s="908"/>
      <c r="G313" s="865"/>
      <c r="H313" s="874"/>
      <c r="I313" s="869"/>
      <c r="J313" s="869"/>
      <c r="K313" s="869"/>
      <c r="L313" s="869"/>
      <c r="M313" s="874"/>
      <c r="O313" s="874"/>
      <c r="P313" s="874"/>
      <c r="Q313" s="874"/>
      <c r="R313" s="874"/>
      <c r="S313" s="874"/>
      <c r="T313" s="874"/>
      <c r="W313" s="874"/>
      <c r="X313" s="874"/>
      <c r="Y313" s="874"/>
      <c r="Z313" s="874"/>
      <c r="AA313" s="874"/>
      <c r="AD313" s="526"/>
      <c r="AE313" s="526"/>
      <c r="AF313" s="526"/>
      <c r="AG313" s="526"/>
      <c r="AH313" s="526"/>
      <c r="AI313" s="526"/>
      <c r="AJ313" s="526"/>
      <c r="AK313" s="526"/>
      <c r="AL313" s="526"/>
      <c r="AM313" s="526"/>
      <c r="AN313" s="526"/>
      <c r="AO313" s="526"/>
      <c r="AP313" s="526"/>
      <c r="AQ313" s="526"/>
      <c r="AR313" s="526"/>
      <c r="AS313" s="526"/>
      <c r="AT313" s="526"/>
      <c r="AU313" s="526"/>
      <c r="AV313" s="526"/>
      <c r="AW313" s="526"/>
      <c r="AX313" s="526"/>
      <c r="AY313" s="526"/>
      <c r="AZ313" s="526"/>
      <c r="BA313" s="526"/>
      <c r="BB313" s="526"/>
      <c r="BC313" s="526"/>
      <c r="BD313" s="526"/>
      <c r="BE313" s="526"/>
      <c r="BF313" s="526"/>
      <c r="BG313" s="526"/>
    </row>
    <row r="314" spans="1:59" s="830" customFormat="1" ht="17.25" customHeight="1" x14ac:dyDescent="0.25">
      <c r="A314" s="865"/>
      <c r="B314" s="865"/>
      <c r="C314" s="908"/>
      <c r="G314" s="865"/>
      <c r="H314" s="874"/>
      <c r="I314" s="869"/>
      <c r="J314" s="869"/>
      <c r="K314" s="869"/>
      <c r="L314" s="869"/>
      <c r="M314" s="874"/>
      <c r="O314" s="874"/>
      <c r="P314" s="874"/>
      <c r="Q314" s="874"/>
      <c r="R314" s="874"/>
      <c r="S314" s="874"/>
      <c r="T314" s="874"/>
      <c r="W314" s="874"/>
      <c r="X314" s="874"/>
      <c r="Y314" s="874"/>
      <c r="Z314" s="874"/>
      <c r="AA314" s="874"/>
      <c r="AD314" s="526"/>
      <c r="AE314" s="526"/>
      <c r="AF314" s="526"/>
      <c r="AG314" s="526"/>
      <c r="AH314" s="526"/>
      <c r="AI314" s="526"/>
      <c r="AJ314" s="526"/>
      <c r="AK314" s="526"/>
      <c r="AL314" s="526"/>
      <c r="AM314" s="526"/>
      <c r="AN314" s="526"/>
      <c r="AO314" s="526"/>
      <c r="AP314" s="526"/>
      <c r="AQ314" s="526"/>
      <c r="AR314" s="526"/>
      <c r="AS314" s="526"/>
      <c r="AT314" s="526"/>
      <c r="AU314" s="526"/>
      <c r="AV314" s="526"/>
      <c r="AW314" s="526"/>
      <c r="AX314" s="526"/>
      <c r="AY314" s="526"/>
      <c r="AZ314" s="526"/>
      <c r="BA314" s="526"/>
      <c r="BB314" s="526"/>
      <c r="BC314" s="526"/>
      <c r="BD314" s="526"/>
      <c r="BE314" s="526"/>
      <c r="BF314" s="526"/>
      <c r="BG314" s="526"/>
    </row>
    <row r="315" spans="1:59" s="830" customFormat="1" ht="17.25" customHeight="1" x14ac:dyDescent="0.25">
      <c r="A315" s="865"/>
      <c r="B315" s="865"/>
      <c r="C315" s="908"/>
      <c r="G315" s="865"/>
      <c r="H315" s="874"/>
      <c r="I315" s="869"/>
      <c r="J315" s="869"/>
      <c r="K315" s="869"/>
      <c r="L315" s="869"/>
      <c r="M315" s="874"/>
      <c r="O315" s="874"/>
      <c r="P315" s="874"/>
      <c r="Q315" s="874"/>
      <c r="R315" s="874"/>
      <c r="S315" s="874"/>
      <c r="T315" s="874"/>
      <c r="W315" s="874"/>
      <c r="X315" s="874"/>
      <c r="Y315" s="874"/>
      <c r="Z315" s="874"/>
      <c r="AA315" s="874"/>
      <c r="AD315" s="526"/>
      <c r="AE315" s="526"/>
      <c r="AF315" s="526"/>
      <c r="AG315" s="526"/>
      <c r="AH315" s="526"/>
      <c r="AI315" s="526"/>
      <c r="AJ315" s="526"/>
      <c r="AK315" s="526"/>
      <c r="AL315" s="526"/>
      <c r="AM315" s="526"/>
      <c r="AN315" s="526"/>
      <c r="AO315" s="526"/>
      <c r="AP315" s="526"/>
      <c r="AQ315" s="526"/>
      <c r="AR315" s="526"/>
      <c r="AS315" s="526"/>
      <c r="AT315" s="526"/>
      <c r="AU315" s="526"/>
      <c r="AV315" s="526"/>
      <c r="AW315" s="526"/>
      <c r="AX315" s="526"/>
      <c r="AY315" s="526"/>
      <c r="AZ315" s="526"/>
      <c r="BA315" s="526"/>
      <c r="BB315" s="526"/>
      <c r="BC315" s="526"/>
      <c r="BD315" s="526"/>
      <c r="BE315" s="526"/>
      <c r="BF315" s="526"/>
      <c r="BG315" s="526"/>
    </row>
    <row r="316" spans="1:59" s="830" customFormat="1" ht="17.25" customHeight="1" x14ac:dyDescent="0.25">
      <c r="A316" s="865"/>
      <c r="B316" s="865"/>
      <c r="C316" s="908"/>
      <c r="G316" s="865"/>
      <c r="H316" s="874"/>
      <c r="I316" s="869"/>
      <c r="J316" s="869"/>
      <c r="K316" s="869"/>
      <c r="L316" s="869"/>
      <c r="M316" s="874"/>
      <c r="O316" s="874"/>
      <c r="P316" s="874"/>
      <c r="Q316" s="874"/>
      <c r="R316" s="874"/>
      <c r="S316" s="874"/>
      <c r="T316" s="874"/>
      <c r="W316" s="874"/>
      <c r="X316" s="874"/>
      <c r="Y316" s="874"/>
      <c r="Z316" s="874"/>
      <c r="AA316" s="874"/>
      <c r="AD316" s="526"/>
      <c r="AE316" s="526"/>
      <c r="AF316" s="526"/>
      <c r="AG316" s="526"/>
      <c r="AH316" s="526"/>
      <c r="AI316" s="526"/>
      <c r="AJ316" s="526"/>
      <c r="AK316" s="526"/>
      <c r="AL316" s="526"/>
      <c r="AM316" s="526"/>
      <c r="AN316" s="526"/>
      <c r="AO316" s="526"/>
      <c r="AP316" s="526"/>
      <c r="AQ316" s="526"/>
      <c r="AR316" s="526"/>
      <c r="AS316" s="526"/>
      <c r="AT316" s="526"/>
      <c r="AU316" s="526"/>
      <c r="AV316" s="526"/>
      <c r="AW316" s="526"/>
      <c r="AX316" s="526"/>
      <c r="AY316" s="526"/>
      <c r="AZ316" s="526"/>
      <c r="BA316" s="526"/>
      <c r="BB316" s="526"/>
      <c r="BC316" s="526"/>
      <c r="BD316" s="526"/>
      <c r="BE316" s="526"/>
      <c r="BF316" s="526"/>
      <c r="BG316" s="526"/>
    </row>
    <row r="317" spans="1:59" s="830" customFormat="1" ht="17.25" customHeight="1" x14ac:dyDescent="0.25">
      <c r="A317" s="865"/>
      <c r="B317" s="865"/>
      <c r="C317" s="908"/>
      <c r="G317" s="865"/>
      <c r="H317" s="874"/>
      <c r="I317" s="869"/>
      <c r="J317" s="869"/>
      <c r="K317" s="869"/>
      <c r="L317" s="869"/>
      <c r="M317" s="874"/>
      <c r="O317" s="874"/>
      <c r="P317" s="874"/>
      <c r="Q317" s="874"/>
      <c r="R317" s="874"/>
      <c r="S317" s="874"/>
      <c r="T317" s="874"/>
      <c r="W317" s="874"/>
      <c r="X317" s="874"/>
      <c r="Y317" s="874"/>
      <c r="Z317" s="874"/>
      <c r="AA317" s="874"/>
      <c r="AD317" s="526"/>
      <c r="AE317" s="526"/>
      <c r="AF317" s="526"/>
      <c r="AG317" s="526"/>
      <c r="AH317" s="526"/>
      <c r="AI317" s="526"/>
      <c r="AJ317" s="526"/>
      <c r="AK317" s="526"/>
      <c r="AL317" s="526"/>
      <c r="AM317" s="526"/>
      <c r="AN317" s="526"/>
      <c r="AO317" s="526"/>
      <c r="AP317" s="526"/>
      <c r="AQ317" s="526"/>
      <c r="AR317" s="526"/>
      <c r="AS317" s="526"/>
      <c r="AT317" s="526"/>
      <c r="AU317" s="526"/>
      <c r="AV317" s="526"/>
      <c r="AW317" s="526"/>
      <c r="AX317" s="526"/>
      <c r="AY317" s="526"/>
      <c r="AZ317" s="526"/>
      <c r="BA317" s="526"/>
      <c r="BB317" s="526"/>
      <c r="BC317" s="526"/>
      <c r="BD317" s="526"/>
      <c r="BE317" s="526"/>
      <c r="BF317" s="526"/>
      <c r="BG317" s="526"/>
    </row>
    <row r="318" spans="1:59" s="830" customFormat="1" ht="17.25" customHeight="1" x14ac:dyDescent="0.25">
      <c r="A318" s="865"/>
      <c r="B318" s="865"/>
      <c r="C318" s="908"/>
      <c r="G318" s="865"/>
      <c r="H318" s="874"/>
      <c r="I318" s="869"/>
      <c r="J318" s="869"/>
      <c r="K318" s="869"/>
      <c r="L318" s="869"/>
      <c r="M318" s="874"/>
      <c r="O318" s="874"/>
      <c r="P318" s="874"/>
      <c r="Q318" s="874"/>
      <c r="R318" s="874"/>
      <c r="S318" s="874"/>
      <c r="T318" s="874"/>
      <c r="W318" s="874"/>
      <c r="X318" s="874"/>
      <c r="Y318" s="874"/>
      <c r="Z318" s="874"/>
      <c r="AA318" s="874"/>
      <c r="AD318" s="526"/>
      <c r="AE318" s="526"/>
      <c r="AF318" s="526"/>
      <c r="AG318" s="526"/>
      <c r="AH318" s="526"/>
      <c r="AI318" s="526"/>
      <c r="AJ318" s="526"/>
      <c r="AK318" s="526"/>
      <c r="AL318" s="526"/>
      <c r="AM318" s="526"/>
      <c r="AN318" s="526"/>
      <c r="AO318" s="526"/>
      <c r="AP318" s="526"/>
      <c r="AQ318" s="526"/>
      <c r="AR318" s="526"/>
      <c r="AS318" s="526"/>
      <c r="AT318" s="526"/>
      <c r="AU318" s="526"/>
      <c r="AV318" s="526"/>
      <c r="AW318" s="526"/>
      <c r="AX318" s="526"/>
      <c r="AY318" s="526"/>
      <c r="AZ318" s="526"/>
      <c r="BA318" s="526"/>
      <c r="BB318" s="526"/>
      <c r="BC318" s="526"/>
      <c r="BD318" s="526"/>
      <c r="BE318" s="526"/>
      <c r="BF318" s="526"/>
      <c r="BG318" s="526"/>
    </row>
    <row r="319" spans="1:59" s="830" customFormat="1" ht="17.25" customHeight="1" x14ac:dyDescent="0.25">
      <c r="A319" s="865"/>
      <c r="B319" s="865"/>
      <c r="C319" s="908"/>
      <c r="G319" s="865"/>
      <c r="H319" s="874"/>
      <c r="I319" s="869"/>
      <c r="J319" s="869"/>
      <c r="K319" s="869"/>
      <c r="L319" s="869"/>
      <c r="M319" s="874"/>
      <c r="O319" s="874"/>
      <c r="P319" s="874"/>
      <c r="Q319" s="874"/>
      <c r="R319" s="874"/>
      <c r="S319" s="874"/>
      <c r="T319" s="874"/>
      <c r="W319" s="874"/>
      <c r="X319" s="874"/>
      <c r="Y319" s="874"/>
      <c r="Z319" s="874"/>
      <c r="AA319" s="874"/>
      <c r="AD319" s="526"/>
      <c r="AE319" s="526"/>
      <c r="AF319" s="526"/>
      <c r="AG319" s="526"/>
      <c r="AH319" s="526"/>
      <c r="AI319" s="526"/>
      <c r="AJ319" s="526"/>
      <c r="AK319" s="526"/>
      <c r="AL319" s="526"/>
      <c r="AM319" s="526"/>
      <c r="AN319" s="526"/>
      <c r="AO319" s="526"/>
      <c r="AP319" s="526"/>
      <c r="AQ319" s="526"/>
      <c r="AR319" s="526"/>
      <c r="AS319" s="526"/>
      <c r="AT319" s="526"/>
      <c r="AU319" s="526"/>
      <c r="AV319" s="526"/>
      <c r="AW319" s="526"/>
      <c r="AX319" s="526"/>
      <c r="AY319" s="526"/>
      <c r="AZ319" s="526"/>
      <c r="BA319" s="526"/>
      <c r="BB319" s="526"/>
      <c r="BC319" s="526"/>
      <c r="BD319" s="526"/>
      <c r="BE319" s="526"/>
      <c r="BF319" s="526"/>
      <c r="BG319" s="526"/>
    </row>
    <row r="320" spans="1:59" s="830" customFormat="1" ht="17.25" customHeight="1" x14ac:dyDescent="0.25">
      <c r="A320" s="865"/>
      <c r="B320" s="865"/>
      <c r="C320" s="908"/>
      <c r="G320" s="865"/>
      <c r="H320" s="874"/>
      <c r="I320" s="869"/>
      <c r="J320" s="869"/>
      <c r="K320" s="869"/>
      <c r="L320" s="869"/>
      <c r="M320" s="874"/>
      <c r="O320" s="874"/>
      <c r="P320" s="874"/>
      <c r="Q320" s="874"/>
      <c r="R320" s="874"/>
      <c r="S320" s="874"/>
      <c r="T320" s="874"/>
      <c r="W320" s="874"/>
      <c r="X320" s="874"/>
      <c r="Y320" s="874"/>
      <c r="Z320" s="874"/>
      <c r="AA320" s="874"/>
      <c r="AD320" s="526"/>
      <c r="AE320" s="526"/>
      <c r="AF320" s="526"/>
      <c r="AG320" s="526"/>
      <c r="AH320" s="526"/>
      <c r="AI320" s="526"/>
      <c r="AJ320" s="526"/>
      <c r="AK320" s="526"/>
      <c r="AL320" s="526"/>
      <c r="AM320" s="526"/>
      <c r="AN320" s="526"/>
      <c r="AO320" s="526"/>
      <c r="AP320" s="526"/>
      <c r="AQ320" s="526"/>
      <c r="AR320" s="526"/>
      <c r="AS320" s="526"/>
      <c r="AT320" s="526"/>
      <c r="AU320" s="526"/>
      <c r="AV320" s="526"/>
      <c r="AW320" s="526"/>
      <c r="AX320" s="526"/>
      <c r="AY320" s="526"/>
      <c r="AZ320" s="526"/>
      <c r="BA320" s="526"/>
      <c r="BB320" s="526"/>
      <c r="BC320" s="526"/>
      <c r="BD320" s="526"/>
      <c r="BE320" s="526"/>
      <c r="BF320" s="526"/>
      <c r="BG320" s="526"/>
    </row>
    <row r="321" spans="1:59" s="830" customFormat="1" ht="17.25" customHeight="1" x14ac:dyDescent="0.25">
      <c r="A321" s="865"/>
      <c r="B321" s="865"/>
      <c r="C321" s="908"/>
      <c r="G321" s="865"/>
      <c r="H321" s="874"/>
      <c r="I321" s="869"/>
      <c r="J321" s="869"/>
      <c r="K321" s="869"/>
      <c r="L321" s="869"/>
      <c r="M321" s="874"/>
      <c r="O321" s="874"/>
      <c r="P321" s="874"/>
      <c r="Q321" s="874"/>
      <c r="R321" s="874"/>
      <c r="S321" s="874"/>
      <c r="T321" s="874"/>
      <c r="W321" s="874"/>
      <c r="X321" s="874"/>
      <c r="Y321" s="874"/>
      <c r="Z321" s="874"/>
      <c r="AA321" s="874"/>
      <c r="AD321" s="526"/>
      <c r="AE321" s="526"/>
      <c r="AF321" s="526"/>
      <c r="AG321" s="526"/>
      <c r="AH321" s="526"/>
      <c r="AI321" s="526"/>
      <c r="AJ321" s="526"/>
      <c r="AK321" s="526"/>
      <c r="AL321" s="526"/>
      <c r="AM321" s="526"/>
      <c r="AN321" s="526"/>
      <c r="AO321" s="526"/>
      <c r="AP321" s="526"/>
      <c r="AQ321" s="526"/>
      <c r="AR321" s="526"/>
      <c r="AS321" s="526"/>
      <c r="AT321" s="526"/>
      <c r="AU321" s="526"/>
      <c r="AV321" s="526"/>
      <c r="AW321" s="526"/>
      <c r="AX321" s="526"/>
      <c r="AY321" s="526"/>
      <c r="AZ321" s="526"/>
      <c r="BA321" s="526"/>
      <c r="BB321" s="526"/>
      <c r="BC321" s="526"/>
      <c r="BD321" s="526"/>
      <c r="BE321" s="526"/>
      <c r="BF321" s="526"/>
      <c r="BG321" s="526"/>
    </row>
    <row r="322" spans="1:59" s="830" customFormat="1" ht="17.25" customHeight="1" x14ac:dyDescent="0.25">
      <c r="A322" s="865"/>
      <c r="B322" s="865"/>
      <c r="C322" s="908"/>
      <c r="G322" s="865"/>
      <c r="H322" s="874"/>
      <c r="I322" s="869"/>
      <c r="J322" s="869"/>
      <c r="K322" s="869"/>
      <c r="L322" s="869"/>
      <c r="M322" s="874"/>
      <c r="O322" s="874"/>
      <c r="P322" s="874"/>
      <c r="Q322" s="874"/>
      <c r="R322" s="874"/>
      <c r="S322" s="874"/>
      <c r="T322" s="874"/>
      <c r="W322" s="874"/>
      <c r="X322" s="874"/>
      <c r="Y322" s="874"/>
      <c r="Z322" s="874"/>
      <c r="AA322" s="874"/>
      <c r="AD322" s="526"/>
      <c r="AE322" s="526"/>
      <c r="AF322" s="526"/>
      <c r="AG322" s="526"/>
      <c r="AH322" s="526"/>
      <c r="AI322" s="526"/>
      <c r="AJ322" s="526"/>
      <c r="AK322" s="526"/>
      <c r="AL322" s="526"/>
      <c r="AM322" s="526"/>
      <c r="AN322" s="526"/>
      <c r="AO322" s="526"/>
      <c r="AP322" s="526"/>
      <c r="AQ322" s="526"/>
      <c r="AR322" s="526"/>
      <c r="AS322" s="526"/>
      <c r="AT322" s="526"/>
      <c r="AU322" s="526"/>
      <c r="AV322" s="526"/>
      <c r="AW322" s="526"/>
      <c r="AX322" s="526"/>
      <c r="AY322" s="526"/>
      <c r="AZ322" s="526"/>
      <c r="BA322" s="526"/>
      <c r="BB322" s="526"/>
      <c r="BC322" s="526"/>
      <c r="BD322" s="526"/>
      <c r="BE322" s="526"/>
      <c r="BF322" s="526"/>
      <c r="BG322" s="526"/>
    </row>
    <row r="323" spans="1:59" s="830" customFormat="1" ht="17.25" customHeight="1" x14ac:dyDescent="0.25">
      <c r="A323" s="865"/>
      <c r="B323" s="865"/>
      <c r="C323" s="908"/>
      <c r="G323" s="865"/>
      <c r="H323" s="874"/>
      <c r="I323" s="869"/>
      <c r="J323" s="869"/>
      <c r="K323" s="869"/>
      <c r="L323" s="869"/>
      <c r="M323" s="874"/>
      <c r="O323" s="874"/>
      <c r="P323" s="874"/>
      <c r="Q323" s="874"/>
      <c r="R323" s="874"/>
      <c r="S323" s="874"/>
      <c r="T323" s="874"/>
      <c r="W323" s="874"/>
      <c r="X323" s="874"/>
      <c r="Y323" s="874"/>
      <c r="Z323" s="874"/>
      <c r="AA323" s="874"/>
      <c r="AD323" s="526"/>
      <c r="AE323" s="526"/>
      <c r="AF323" s="526"/>
      <c r="AG323" s="526"/>
      <c r="AH323" s="526"/>
      <c r="AI323" s="526"/>
      <c r="AJ323" s="526"/>
      <c r="AK323" s="526"/>
      <c r="AL323" s="526"/>
      <c r="AM323" s="526"/>
      <c r="AN323" s="526"/>
      <c r="AO323" s="526"/>
      <c r="AP323" s="526"/>
      <c r="AQ323" s="526"/>
      <c r="AR323" s="526"/>
      <c r="AS323" s="526"/>
      <c r="AT323" s="526"/>
      <c r="AU323" s="526"/>
      <c r="AV323" s="526"/>
      <c r="AW323" s="526"/>
      <c r="AX323" s="526"/>
      <c r="AY323" s="526"/>
      <c r="AZ323" s="526"/>
      <c r="BA323" s="526"/>
      <c r="BB323" s="526"/>
      <c r="BC323" s="526"/>
      <c r="BD323" s="526"/>
      <c r="BE323" s="526"/>
      <c r="BF323" s="526"/>
      <c r="BG323" s="526"/>
    </row>
    <row r="324" spans="1:59" s="830" customFormat="1" ht="17.25" customHeight="1" x14ac:dyDescent="0.25">
      <c r="A324" s="865"/>
      <c r="B324" s="865"/>
      <c r="C324" s="908"/>
      <c r="G324" s="865"/>
      <c r="H324" s="874"/>
      <c r="I324" s="869"/>
      <c r="J324" s="869"/>
      <c r="K324" s="869"/>
      <c r="L324" s="869"/>
      <c r="M324" s="874"/>
      <c r="O324" s="874"/>
      <c r="P324" s="874"/>
      <c r="Q324" s="874"/>
      <c r="R324" s="874"/>
      <c r="S324" s="874"/>
      <c r="T324" s="874"/>
      <c r="W324" s="874"/>
      <c r="X324" s="874"/>
      <c r="Y324" s="874"/>
      <c r="Z324" s="874"/>
      <c r="AA324" s="874"/>
      <c r="AD324" s="526"/>
      <c r="AE324" s="526"/>
      <c r="AF324" s="526"/>
      <c r="AG324" s="526"/>
      <c r="AH324" s="526"/>
      <c r="AI324" s="526"/>
      <c r="AJ324" s="526"/>
      <c r="AK324" s="526"/>
      <c r="AL324" s="526"/>
      <c r="AM324" s="526"/>
      <c r="AN324" s="526"/>
      <c r="AO324" s="526"/>
      <c r="AP324" s="526"/>
      <c r="AQ324" s="526"/>
      <c r="AR324" s="526"/>
      <c r="AS324" s="526"/>
      <c r="AT324" s="526"/>
      <c r="AU324" s="526"/>
      <c r="AV324" s="526"/>
      <c r="AW324" s="526"/>
      <c r="AX324" s="526"/>
      <c r="AY324" s="526"/>
      <c r="AZ324" s="526"/>
      <c r="BA324" s="526"/>
      <c r="BB324" s="526"/>
      <c r="BC324" s="526"/>
      <c r="BD324" s="526"/>
      <c r="BE324" s="526"/>
      <c r="BF324" s="526"/>
      <c r="BG324" s="526"/>
    </row>
    <row r="325" spans="1:59" s="830" customFormat="1" ht="17.25" customHeight="1" x14ac:dyDescent="0.25">
      <c r="A325" s="865"/>
      <c r="B325" s="865"/>
      <c r="C325" s="908"/>
      <c r="G325" s="865"/>
      <c r="H325" s="874"/>
      <c r="I325" s="869"/>
      <c r="J325" s="869"/>
      <c r="K325" s="869"/>
      <c r="L325" s="869"/>
      <c r="M325" s="874"/>
      <c r="O325" s="874"/>
      <c r="P325" s="874"/>
      <c r="Q325" s="874"/>
      <c r="R325" s="874"/>
      <c r="S325" s="874"/>
      <c r="T325" s="874"/>
      <c r="W325" s="874"/>
      <c r="X325" s="874"/>
      <c r="Y325" s="874"/>
      <c r="Z325" s="874"/>
      <c r="AA325" s="874"/>
      <c r="AD325" s="526"/>
      <c r="AE325" s="526"/>
      <c r="AF325" s="526"/>
      <c r="AG325" s="526"/>
      <c r="AH325" s="526"/>
      <c r="AI325" s="526"/>
      <c r="AJ325" s="526"/>
      <c r="AK325" s="526"/>
      <c r="AL325" s="526"/>
      <c r="AM325" s="526"/>
      <c r="AN325" s="526"/>
      <c r="AO325" s="526"/>
      <c r="AP325" s="526"/>
      <c r="AQ325" s="526"/>
      <c r="AR325" s="526"/>
      <c r="AS325" s="526"/>
      <c r="AT325" s="526"/>
      <c r="AU325" s="526"/>
      <c r="AV325" s="526"/>
      <c r="AW325" s="526"/>
      <c r="AX325" s="526"/>
      <c r="AY325" s="526"/>
      <c r="AZ325" s="526"/>
      <c r="BA325" s="526"/>
      <c r="BB325" s="526"/>
      <c r="BC325" s="526"/>
      <c r="BD325" s="526"/>
      <c r="BE325" s="526"/>
      <c r="BF325" s="526"/>
      <c r="BG325" s="526"/>
    </row>
    <row r="326" spans="1:59" s="830" customFormat="1" ht="17.25" customHeight="1" x14ac:dyDescent="0.25">
      <c r="A326" s="865"/>
      <c r="B326" s="865"/>
      <c r="C326" s="908"/>
      <c r="G326" s="865"/>
      <c r="H326" s="874"/>
      <c r="I326" s="869"/>
      <c r="J326" s="869"/>
      <c r="K326" s="869"/>
      <c r="L326" s="869"/>
      <c r="M326" s="874"/>
      <c r="O326" s="874"/>
      <c r="P326" s="874"/>
      <c r="Q326" s="874"/>
      <c r="R326" s="874"/>
      <c r="S326" s="874"/>
      <c r="T326" s="874"/>
      <c r="W326" s="874"/>
      <c r="X326" s="874"/>
      <c r="Y326" s="874"/>
      <c r="Z326" s="874"/>
      <c r="AA326" s="874"/>
      <c r="AD326" s="526"/>
      <c r="AE326" s="526"/>
      <c r="AF326" s="526"/>
      <c r="AG326" s="526"/>
      <c r="AH326" s="526"/>
      <c r="AI326" s="526"/>
      <c r="AJ326" s="526"/>
      <c r="AK326" s="526"/>
      <c r="AL326" s="526"/>
      <c r="AM326" s="526"/>
      <c r="AN326" s="526"/>
      <c r="AO326" s="526"/>
      <c r="AP326" s="526"/>
      <c r="AQ326" s="526"/>
      <c r="AR326" s="526"/>
      <c r="AS326" s="526"/>
      <c r="AT326" s="526"/>
      <c r="AU326" s="526"/>
      <c r="AV326" s="526"/>
      <c r="AW326" s="526"/>
      <c r="AX326" s="526"/>
      <c r="AY326" s="526"/>
      <c r="AZ326" s="526"/>
      <c r="BA326" s="526"/>
      <c r="BB326" s="526"/>
      <c r="BC326" s="526"/>
      <c r="BD326" s="526"/>
      <c r="BE326" s="526"/>
      <c r="BF326" s="526"/>
      <c r="BG326" s="526"/>
    </row>
    <row r="327" spans="1:59" s="830" customFormat="1" ht="17.25" customHeight="1" x14ac:dyDescent="0.25">
      <c r="A327" s="865"/>
      <c r="B327" s="865"/>
      <c r="C327" s="908"/>
      <c r="G327" s="865"/>
      <c r="H327" s="874"/>
      <c r="I327" s="869"/>
      <c r="J327" s="869"/>
      <c r="K327" s="869"/>
      <c r="L327" s="869"/>
      <c r="M327" s="874"/>
      <c r="O327" s="874"/>
      <c r="P327" s="874"/>
      <c r="Q327" s="874"/>
      <c r="R327" s="874"/>
      <c r="S327" s="874"/>
      <c r="T327" s="874"/>
      <c r="W327" s="874"/>
      <c r="X327" s="874"/>
      <c r="Y327" s="874"/>
      <c r="Z327" s="874"/>
      <c r="AA327" s="874"/>
      <c r="AD327" s="526"/>
      <c r="AE327" s="526"/>
      <c r="AF327" s="526"/>
      <c r="AG327" s="526"/>
      <c r="AH327" s="526"/>
      <c r="AI327" s="526"/>
      <c r="AJ327" s="526"/>
      <c r="AK327" s="526"/>
      <c r="AL327" s="526"/>
      <c r="AM327" s="526"/>
      <c r="AN327" s="526"/>
      <c r="AO327" s="526"/>
      <c r="AP327" s="526"/>
      <c r="AQ327" s="526"/>
      <c r="AR327" s="526"/>
      <c r="AS327" s="526"/>
      <c r="AT327" s="526"/>
      <c r="AU327" s="526"/>
      <c r="AV327" s="526"/>
      <c r="AW327" s="526"/>
      <c r="AX327" s="526"/>
      <c r="AY327" s="526"/>
      <c r="AZ327" s="526"/>
      <c r="BA327" s="526"/>
      <c r="BB327" s="526"/>
      <c r="BC327" s="526"/>
      <c r="BD327" s="526"/>
      <c r="BE327" s="526"/>
      <c r="BF327" s="526"/>
      <c r="BG327" s="526"/>
    </row>
    <row r="328" spans="1:59" s="830" customFormat="1" ht="17.25" customHeight="1" x14ac:dyDescent="0.25">
      <c r="A328" s="865"/>
      <c r="B328" s="865"/>
      <c r="C328" s="908"/>
      <c r="G328" s="865"/>
      <c r="H328" s="874"/>
      <c r="I328" s="869"/>
      <c r="J328" s="869"/>
      <c r="K328" s="869"/>
      <c r="L328" s="869"/>
      <c r="M328" s="874"/>
      <c r="O328" s="874"/>
      <c r="P328" s="874"/>
      <c r="Q328" s="874"/>
      <c r="R328" s="874"/>
      <c r="S328" s="874"/>
      <c r="T328" s="874"/>
      <c r="W328" s="874"/>
      <c r="X328" s="874"/>
      <c r="Y328" s="874"/>
      <c r="Z328" s="874"/>
      <c r="AA328" s="874"/>
      <c r="AD328" s="526"/>
      <c r="AE328" s="526"/>
      <c r="AF328" s="526"/>
      <c r="AG328" s="526"/>
      <c r="AH328" s="526"/>
      <c r="AI328" s="526"/>
      <c r="AJ328" s="526"/>
      <c r="AK328" s="526"/>
      <c r="AL328" s="526"/>
      <c r="AM328" s="526"/>
      <c r="AN328" s="526"/>
      <c r="AO328" s="526"/>
      <c r="AP328" s="526"/>
      <c r="AQ328" s="526"/>
      <c r="AR328" s="526"/>
      <c r="AS328" s="526"/>
      <c r="AT328" s="526"/>
      <c r="AU328" s="526"/>
      <c r="AV328" s="526"/>
      <c r="AW328" s="526"/>
      <c r="AX328" s="526"/>
      <c r="AY328" s="526"/>
      <c r="AZ328" s="526"/>
      <c r="BA328" s="526"/>
      <c r="BB328" s="526"/>
      <c r="BC328" s="526"/>
      <c r="BD328" s="526"/>
      <c r="BE328" s="526"/>
      <c r="BF328" s="526"/>
      <c r="BG328" s="526"/>
    </row>
    <row r="329" spans="1:59" s="830" customFormat="1" ht="17.25" customHeight="1" x14ac:dyDescent="0.25">
      <c r="A329" s="865"/>
      <c r="B329" s="865"/>
      <c r="C329" s="908"/>
      <c r="G329" s="865"/>
      <c r="H329" s="874"/>
      <c r="I329" s="869"/>
      <c r="J329" s="869"/>
      <c r="K329" s="869"/>
      <c r="L329" s="869"/>
      <c r="M329" s="874"/>
      <c r="O329" s="874"/>
      <c r="P329" s="874"/>
      <c r="Q329" s="874"/>
      <c r="R329" s="874"/>
      <c r="S329" s="874"/>
      <c r="T329" s="874"/>
      <c r="W329" s="874"/>
      <c r="X329" s="874"/>
      <c r="Y329" s="874"/>
      <c r="Z329" s="874"/>
      <c r="AA329" s="874"/>
      <c r="AD329" s="526"/>
      <c r="AE329" s="526"/>
      <c r="AF329" s="526"/>
      <c r="AG329" s="526"/>
      <c r="AH329" s="526"/>
      <c r="AI329" s="526"/>
      <c r="AJ329" s="526"/>
      <c r="AK329" s="526"/>
      <c r="AL329" s="526"/>
      <c r="AM329" s="526"/>
      <c r="AN329" s="526"/>
      <c r="AO329" s="526"/>
      <c r="AP329" s="526"/>
      <c r="AQ329" s="526"/>
      <c r="AR329" s="526"/>
      <c r="AS329" s="526"/>
      <c r="AT329" s="526"/>
      <c r="AU329" s="526"/>
      <c r="AV329" s="526"/>
      <c r="AW329" s="526"/>
      <c r="AX329" s="526"/>
      <c r="AY329" s="526"/>
      <c r="AZ329" s="526"/>
      <c r="BA329" s="526"/>
      <c r="BB329" s="526"/>
      <c r="BC329" s="526"/>
      <c r="BD329" s="526"/>
      <c r="BE329" s="526"/>
      <c r="BF329" s="526"/>
      <c r="BG329" s="526"/>
    </row>
    <row r="330" spans="1:59" s="830" customFormat="1" ht="17.25" customHeight="1" x14ac:dyDescent="0.25">
      <c r="A330" s="865"/>
      <c r="B330" s="865"/>
      <c r="C330" s="908"/>
      <c r="G330" s="865"/>
      <c r="H330" s="874"/>
      <c r="I330" s="869"/>
      <c r="J330" s="869"/>
      <c r="K330" s="869"/>
      <c r="L330" s="869"/>
      <c r="M330" s="874"/>
      <c r="O330" s="874"/>
      <c r="P330" s="874"/>
      <c r="Q330" s="874"/>
      <c r="R330" s="874"/>
      <c r="S330" s="874"/>
      <c r="T330" s="874"/>
      <c r="W330" s="874"/>
      <c r="X330" s="874"/>
      <c r="Y330" s="874"/>
      <c r="Z330" s="874"/>
      <c r="AA330" s="874"/>
      <c r="AD330" s="526"/>
      <c r="AE330" s="526"/>
      <c r="AF330" s="526"/>
      <c r="AG330" s="526"/>
      <c r="AH330" s="526"/>
      <c r="AI330" s="526"/>
      <c r="AJ330" s="526"/>
      <c r="AK330" s="526"/>
      <c r="AL330" s="526"/>
      <c r="AM330" s="526"/>
      <c r="AN330" s="526"/>
      <c r="AO330" s="526"/>
      <c r="AP330" s="526"/>
      <c r="AQ330" s="526"/>
      <c r="AR330" s="526"/>
      <c r="AS330" s="526"/>
      <c r="AT330" s="526"/>
      <c r="AU330" s="526"/>
      <c r="AV330" s="526"/>
      <c r="AW330" s="526"/>
      <c r="AX330" s="526"/>
      <c r="AY330" s="526"/>
      <c r="AZ330" s="526"/>
      <c r="BA330" s="526"/>
      <c r="BB330" s="526"/>
      <c r="BC330" s="526"/>
      <c r="BD330" s="526"/>
      <c r="BE330" s="526"/>
      <c r="BF330" s="526"/>
      <c r="BG330" s="526"/>
    </row>
    <row r="331" spans="1:59" s="830" customFormat="1" ht="17.25" customHeight="1" x14ac:dyDescent="0.25">
      <c r="A331" s="865"/>
      <c r="B331" s="865"/>
      <c r="C331" s="908"/>
      <c r="G331" s="865"/>
      <c r="H331" s="874"/>
      <c r="I331" s="869"/>
      <c r="J331" s="869"/>
      <c r="K331" s="869"/>
      <c r="L331" s="869"/>
      <c r="M331" s="874"/>
      <c r="O331" s="874"/>
      <c r="P331" s="874"/>
      <c r="Q331" s="874"/>
      <c r="R331" s="874"/>
      <c r="S331" s="874"/>
      <c r="T331" s="874"/>
      <c r="W331" s="874"/>
      <c r="X331" s="874"/>
      <c r="Y331" s="874"/>
      <c r="Z331" s="874"/>
      <c r="AA331" s="874"/>
      <c r="AD331" s="526"/>
      <c r="AE331" s="526"/>
      <c r="AF331" s="526"/>
      <c r="AG331" s="526"/>
      <c r="AH331" s="526"/>
      <c r="AI331" s="526"/>
      <c r="AJ331" s="526"/>
      <c r="AK331" s="526"/>
      <c r="AL331" s="526"/>
      <c r="AM331" s="526"/>
      <c r="AN331" s="526"/>
      <c r="AO331" s="526"/>
      <c r="AP331" s="526"/>
      <c r="AQ331" s="526"/>
      <c r="AR331" s="526"/>
      <c r="AS331" s="526"/>
      <c r="AT331" s="526"/>
      <c r="AU331" s="526"/>
      <c r="AV331" s="526"/>
      <c r="AW331" s="526"/>
      <c r="AX331" s="526"/>
      <c r="AY331" s="526"/>
      <c r="AZ331" s="526"/>
      <c r="BA331" s="526"/>
      <c r="BB331" s="526"/>
      <c r="BC331" s="526"/>
      <c r="BD331" s="526"/>
      <c r="BE331" s="526"/>
      <c r="BF331" s="526"/>
      <c r="BG331" s="526"/>
    </row>
    <row r="332" spans="1:59" s="830" customFormat="1" ht="17.25" customHeight="1" x14ac:dyDescent="0.25">
      <c r="A332" s="865"/>
      <c r="B332" s="865"/>
      <c r="C332" s="908"/>
      <c r="G332" s="865"/>
      <c r="H332" s="874"/>
      <c r="I332" s="869"/>
      <c r="J332" s="869"/>
      <c r="K332" s="869"/>
      <c r="L332" s="869"/>
      <c r="M332" s="874"/>
      <c r="O332" s="874"/>
      <c r="P332" s="874"/>
      <c r="Q332" s="874"/>
      <c r="R332" s="874"/>
      <c r="S332" s="874"/>
      <c r="T332" s="874"/>
      <c r="W332" s="874"/>
      <c r="X332" s="874"/>
      <c r="Y332" s="874"/>
      <c r="Z332" s="874"/>
      <c r="AA332" s="874"/>
      <c r="AD332" s="526"/>
      <c r="AE332" s="526"/>
      <c r="AF332" s="526"/>
      <c r="AG332" s="526"/>
      <c r="AH332" s="526"/>
      <c r="AI332" s="526"/>
      <c r="AJ332" s="526"/>
      <c r="AK332" s="526"/>
      <c r="AL332" s="526"/>
      <c r="AM332" s="526"/>
      <c r="AN332" s="526"/>
      <c r="AO332" s="526"/>
      <c r="AP332" s="526"/>
      <c r="AQ332" s="526"/>
      <c r="AR332" s="526"/>
      <c r="AS332" s="526"/>
      <c r="AT332" s="526"/>
      <c r="AU332" s="526"/>
      <c r="AV332" s="526"/>
      <c r="AW332" s="526"/>
      <c r="AX332" s="526"/>
      <c r="AY332" s="526"/>
      <c r="AZ332" s="526"/>
      <c r="BA332" s="526"/>
      <c r="BB332" s="526"/>
      <c r="BC332" s="526"/>
      <c r="BD332" s="526"/>
      <c r="BE332" s="526"/>
      <c r="BF332" s="526"/>
      <c r="BG332" s="526"/>
    </row>
    <row r="333" spans="1:59" s="830" customFormat="1" ht="17.25" customHeight="1" x14ac:dyDescent="0.25">
      <c r="A333" s="865"/>
      <c r="B333" s="865"/>
      <c r="C333" s="908"/>
      <c r="G333" s="865"/>
      <c r="H333" s="874"/>
      <c r="I333" s="869"/>
      <c r="J333" s="869"/>
      <c r="K333" s="869"/>
      <c r="L333" s="869"/>
      <c r="M333" s="874"/>
      <c r="O333" s="874"/>
      <c r="P333" s="874"/>
      <c r="Q333" s="874"/>
      <c r="R333" s="874"/>
      <c r="S333" s="874"/>
      <c r="T333" s="874"/>
      <c r="W333" s="874"/>
      <c r="X333" s="874"/>
      <c r="Y333" s="874"/>
      <c r="Z333" s="874"/>
      <c r="AA333" s="874"/>
      <c r="AD333" s="526"/>
      <c r="AE333" s="526"/>
      <c r="AF333" s="526"/>
      <c r="AG333" s="526"/>
      <c r="AH333" s="526"/>
      <c r="AI333" s="526"/>
      <c r="AJ333" s="526"/>
      <c r="AK333" s="526"/>
      <c r="AL333" s="526"/>
      <c r="AM333" s="526"/>
      <c r="AN333" s="526"/>
      <c r="AO333" s="526"/>
      <c r="AP333" s="526"/>
      <c r="AQ333" s="526"/>
      <c r="AR333" s="526"/>
      <c r="AS333" s="526"/>
      <c r="AT333" s="526"/>
      <c r="AU333" s="526"/>
      <c r="AV333" s="526"/>
      <c r="AW333" s="526"/>
      <c r="AX333" s="526"/>
      <c r="AY333" s="526"/>
      <c r="AZ333" s="526"/>
      <c r="BA333" s="526"/>
      <c r="BB333" s="526"/>
      <c r="BC333" s="526"/>
      <c r="BD333" s="526"/>
      <c r="BE333" s="526"/>
      <c r="BF333" s="526"/>
      <c r="BG333" s="526"/>
    </row>
    <row r="334" spans="1:59" s="830" customFormat="1" ht="17.25" customHeight="1" x14ac:dyDescent="0.25">
      <c r="A334" s="865"/>
      <c r="B334" s="865"/>
      <c r="C334" s="908"/>
      <c r="G334" s="865"/>
      <c r="H334" s="874"/>
      <c r="I334" s="869"/>
      <c r="J334" s="869"/>
      <c r="K334" s="869"/>
      <c r="L334" s="869"/>
      <c r="M334" s="874"/>
      <c r="O334" s="874"/>
      <c r="P334" s="874"/>
      <c r="Q334" s="874"/>
      <c r="R334" s="874"/>
      <c r="S334" s="874"/>
      <c r="T334" s="874"/>
      <c r="W334" s="874"/>
      <c r="X334" s="874"/>
      <c r="Y334" s="874"/>
      <c r="Z334" s="874"/>
      <c r="AA334" s="874"/>
      <c r="AD334" s="526"/>
      <c r="AE334" s="526"/>
      <c r="AF334" s="526"/>
      <c r="AG334" s="526"/>
      <c r="AH334" s="526"/>
      <c r="AI334" s="526"/>
      <c r="AJ334" s="526"/>
      <c r="AK334" s="526"/>
      <c r="AL334" s="526"/>
      <c r="AM334" s="526"/>
      <c r="AN334" s="526"/>
      <c r="AO334" s="526"/>
      <c r="AP334" s="526"/>
      <c r="AQ334" s="526"/>
      <c r="AR334" s="526"/>
      <c r="AS334" s="526"/>
      <c r="AT334" s="526"/>
      <c r="AU334" s="526"/>
      <c r="AV334" s="526"/>
      <c r="AW334" s="526"/>
      <c r="AX334" s="526"/>
      <c r="AY334" s="526"/>
      <c r="AZ334" s="526"/>
      <c r="BA334" s="526"/>
      <c r="BB334" s="526"/>
      <c r="BC334" s="526"/>
      <c r="BD334" s="526"/>
      <c r="BE334" s="526"/>
      <c r="BF334" s="526"/>
      <c r="BG334" s="526"/>
    </row>
    <row r="335" spans="1:59" s="830" customFormat="1" ht="17.25" customHeight="1" x14ac:dyDescent="0.25">
      <c r="A335" s="865"/>
      <c r="B335" s="865"/>
      <c r="C335" s="908"/>
      <c r="G335" s="865"/>
      <c r="H335" s="874"/>
      <c r="I335" s="869"/>
      <c r="J335" s="869"/>
      <c r="K335" s="869"/>
      <c r="L335" s="869"/>
      <c r="M335" s="874"/>
      <c r="O335" s="874"/>
      <c r="P335" s="874"/>
      <c r="Q335" s="874"/>
      <c r="R335" s="874"/>
      <c r="S335" s="874"/>
      <c r="T335" s="874"/>
      <c r="W335" s="874"/>
      <c r="X335" s="874"/>
      <c r="Y335" s="874"/>
      <c r="Z335" s="874"/>
      <c r="AA335" s="874"/>
      <c r="AD335" s="526"/>
      <c r="AE335" s="526"/>
      <c r="AF335" s="526"/>
      <c r="AG335" s="526"/>
      <c r="AH335" s="526"/>
      <c r="AI335" s="526"/>
      <c r="AJ335" s="526"/>
      <c r="AK335" s="526"/>
      <c r="AL335" s="526"/>
      <c r="AM335" s="526"/>
      <c r="AN335" s="526"/>
      <c r="AO335" s="526"/>
      <c r="AP335" s="526"/>
      <c r="AQ335" s="526"/>
      <c r="AR335" s="526"/>
      <c r="AS335" s="526"/>
      <c r="AT335" s="526"/>
      <c r="AU335" s="526"/>
      <c r="AV335" s="526"/>
      <c r="AW335" s="526"/>
      <c r="AX335" s="526"/>
      <c r="AY335" s="526"/>
      <c r="AZ335" s="526"/>
      <c r="BA335" s="526"/>
      <c r="BB335" s="526"/>
      <c r="BC335" s="526"/>
      <c r="BD335" s="526"/>
      <c r="BE335" s="526"/>
      <c r="BF335" s="526"/>
      <c r="BG335" s="526"/>
    </row>
    <row r="336" spans="1:59" s="830" customFormat="1" ht="17.25" customHeight="1" x14ac:dyDescent="0.25">
      <c r="A336" s="865"/>
      <c r="B336" s="865"/>
      <c r="C336" s="908"/>
      <c r="G336" s="865"/>
      <c r="H336" s="874"/>
      <c r="I336" s="869"/>
      <c r="J336" s="869"/>
      <c r="K336" s="869"/>
      <c r="L336" s="869"/>
      <c r="M336" s="874"/>
      <c r="O336" s="874"/>
      <c r="P336" s="874"/>
      <c r="Q336" s="874"/>
      <c r="R336" s="874"/>
      <c r="S336" s="874"/>
      <c r="T336" s="874"/>
      <c r="W336" s="874"/>
      <c r="X336" s="874"/>
      <c r="Y336" s="874"/>
      <c r="Z336" s="874"/>
      <c r="AA336" s="874"/>
      <c r="AD336" s="526"/>
      <c r="AE336" s="526"/>
      <c r="AF336" s="526"/>
      <c r="AG336" s="526"/>
      <c r="AH336" s="526"/>
      <c r="AI336" s="526"/>
      <c r="AJ336" s="526"/>
      <c r="AK336" s="526"/>
      <c r="AL336" s="526"/>
      <c r="AM336" s="526"/>
      <c r="AN336" s="526"/>
      <c r="AO336" s="526"/>
      <c r="AP336" s="526"/>
      <c r="AQ336" s="526"/>
      <c r="AR336" s="526"/>
      <c r="AS336" s="526"/>
      <c r="AT336" s="526"/>
      <c r="AU336" s="526"/>
      <c r="AV336" s="526"/>
      <c r="AW336" s="526"/>
      <c r="AX336" s="526"/>
      <c r="AY336" s="526"/>
      <c r="AZ336" s="526"/>
      <c r="BA336" s="526"/>
      <c r="BB336" s="526"/>
      <c r="BC336" s="526"/>
      <c r="BD336" s="526"/>
      <c r="BE336" s="526"/>
      <c r="BF336" s="526"/>
      <c r="BG336" s="526"/>
    </row>
    <row r="337" spans="1:59" s="830" customFormat="1" ht="17.25" customHeight="1" x14ac:dyDescent="0.25">
      <c r="A337" s="865"/>
      <c r="B337" s="865"/>
      <c r="C337" s="908"/>
      <c r="G337" s="865"/>
      <c r="H337" s="874"/>
      <c r="I337" s="869"/>
      <c r="J337" s="869"/>
      <c r="K337" s="869"/>
      <c r="L337" s="869"/>
      <c r="M337" s="874"/>
      <c r="O337" s="874"/>
      <c r="P337" s="874"/>
      <c r="Q337" s="874"/>
      <c r="R337" s="874"/>
      <c r="S337" s="874"/>
      <c r="T337" s="874"/>
      <c r="W337" s="874"/>
      <c r="X337" s="874"/>
      <c r="Y337" s="874"/>
      <c r="Z337" s="874"/>
      <c r="AA337" s="874"/>
      <c r="AD337" s="526"/>
      <c r="AE337" s="526"/>
      <c r="AF337" s="526"/>
      <c r="AG337" s="526"/>
      <c r="AH337" s="526"/>
      <c r="AI337" s="526"/>
      <c r="AJ337" s="526"/>
      <c r="AK337" s="526"/>
      <c r="AL337" s="526"/>
      <c r="AM337" s="526"/>
      <c r="AN337" s="526"/>
      <c r="AO337" s="526"/>
      <c r="AP337" s="526"/>
      <c r="AQ337" s="526"/>
      <c r="AR337" s="526"/>
      <c r="AS337" s="526"/>
      <c r="AT337" s="526"/>
      <c r="AU337" s="526"/>
      <c r="AV337" s="526"/>
      <c r="AW337" s="526"/>
      <c r="AX337" s="526"/>
      <c r="AY337" s="526"/>
      <c r="AZ337" s="526"/>
      <c r="BA337" s="526"/>
      <c r="BB337" s="526"/>
      <c r="BC337" s="526"/>
      <c r="BD337" s="526"/>
      <c r="BE337" s="526"/>
      <c r="BF337" s="526"/>
      <c r="BG337" s="526"/>
    </row>
    <row r="338" spans="1:59" s="830" customFormat="1" ht="17.25" customHeight="1" x14ac:dyDescent="0.25">
      <c r="A338" s="865"/>
      <c r="B338" s="865"/>
      <c r="C338" s="908"/>
      <c r="G338" s="865"/>
      <c r="H338" s="874"/>
      <c r="I338" s="869"/>
      <c r="J338" s="869"/>
      <c r="K338" s="869"/>
      <c r="L338" s="869"/>
      <c r="M338" s="874"/>
      <c r="O338" s="874"/>
      <c r="P338" s="874"/>
      <c r="Q338" s="874"/>
      <c r="R338" s="874"/>
      <c r="S338" s="874"/>
      <c r="T338" s="874"/>
      <c r="W338" s="874"/>
      <c r="X338" s="874"/>
      <c r="Y338" s="874"/>
      <c r="Z338" s="874"/>
      <c r="AA338" s="874"/>
      <c r="AD338" s="526"/>
      <c r="AE338" s="526"/>
      <c r="AF338" s="526"/>
      <c r="AG338" s="526"/>
      <c r="AH338" s="526"/>
      <c r="AI338" s="526"/>
      <c r="AJ338" s="526"/>
      <c r="AK338" s="526"/>
      <c r="AL338" s="526"/>
      <c r="AM338" s="526"/>
      <c r="AN338" s="526"/>
      <c r="AO338" s="526"/>
      <c r="AP338" s="526"/>
      <c r="AQ338" s="526"/>
      <c r="AR338" s="526"/>
      <c r="AS338" s="526"/>
      <c r="AT338" s="526"/>
      <c r="AU338" s="526"/>
      <c r="AV338" s="526"/>
      <c r="AW338" s="526"/>
      <c r="AX338" s="526"/>
      <c r="AY338" s="526"/>
      <c r="AZ338" s="526"/>
      <c r="BA338" s="526"/>
      <c r="BB338" s="526"/>
      <c r="BC338" s="526"/>
      <c r="BD338" s="526"/>
      <c r="BE338" s="526"/>
      <c r="BF338" s="526"/>
      <c r="BG338" s="526"/>
    </row>
    <row r="339" spans="1:59" s="830" customFormat="1" ht="17.25" customHeight="1" x14ac:dyDescent="0.25">
      <c r="A339" s="865"/>
      <c r="B339" s="865"/>
      <c r="C339" s="908"/>
      <c r="G339" s="865"/>
      <c r="H339" s="874"/>
      <c r="I339" s="869"/>
      <c r="J339" s="869"/>
      <c r="K339" s="869"/>
      <c r="L339" s="869"/>
      <c r="M339" s="874"/>
      <c r="O339" s="874"/>
      <c r="P339" s="874"/>
      <c r="Q339" s="874"/>
      <c r="R339" s="874"/>
      <c r="S339" s="874"/>
      <c r="T339" s="874"/>
      <c r="W339" s="874"/>
      <c r="X339" s="874"/>
      <c r="Y339" s="874"/>
      <c r="Z339" s="874"/>
      <c r="AA339" s="874"/>
      <c r="AD339" s="526"/>
      <c r="AE339" s="526"/>
      <c r="AF339" s="526"/>
      <c r="AG339" s="526"/>
      <c r="AH339" s="526"/>
      <c r="AI339" s="526"/>
      <c r="AJ339" s="526"/>
      <c r="AK339" s="526"/>
      <c r="AL339" s="526"/>
      <c r="AM339" s="526"/>
      <c r="AN339" s="526"/>
      <c r="AO339" s="526"/>
      <c r="AP339" s="526"/>
      <c r="AQ339" s="526"/>
      <c r="AR339" s="526"/>
      <c r="AS339" s="526"/>
      <c r="AT339" s="526"/>
      <c r="AU339" s="526"/>
      <c r="AV339" s="526"/>
      <c r="AW339" s="526"/>
      <c r="AX339" s="526"/>
      <c r="AY339" s="526"/>
      <c r="AZ339" s="526"/>
      <c r="BA339" s="526"/>
      <c r="BB339" s="526"/>
      <c r="BC339" s="526"/>
      <c r="BD339" s="526"/>
      <c r="BE339" s="526"/>
      <c r="BF339" s="526"/>
      <c r="BG339" s="526"/>
    </row>
    <row r="340" spans="1:59" s="830" customFormat="1" ht="17.25" customHeight="1" x14ac:dyDescent="0.25">
      <c r="A340" s="865"/>
      <c r="B340" s="865"/>
      <c r="C340" s="908"/>
      <c r="G340" s="865"/>
      <c r="H340" s="874"/>
      <c r="I340" s="869"/>
      <c r="J340" s="869"/>
      <c r="K340" s="869"/>
      <c r="L340" s="869"/>
      <c r="M340" s="874"/>
      <c r="O340" s="874"/>
      <c r="P340" s="874"/>
      <c r="Q340" s="874"/>
      <c r="R340" s="874"/>
      <c r="S340" s="874"/>
      <c r="T340" s="874"/>
      <c r="W340" s="874"/>
      <c r="X340" s="874"/>
      <c r="Y340" s="874"/>
      <c r="Z340" s="874"/>
      <c r="AA340" s="874"/>
      <c r="AD340" s="526"/>
      <c r="AE340" s="526"/>
      <c r="AF340" s="526"/>
      <c r="AG340" s="526"/>
      <c r="AH340" s="526"/>
      <c r="AI340" s="526"/>
      <c r="AJ340" s="526"/>
      <c r="AK340" s="526"/>
      <c r="AL340" s="526"/>
      <c r="AM340" s="526"/>
      <c r="AN340" s="526"/>
      <c r="AO340" s="526"/>
      <c r="AP340" s="526"/>
      <c r="AQ340" s="526"/>
      <c r="AR340" s="526"/>
      <c r="AS340" s="526"/>
      <c r="AT340" s="526"/>
      <c r="AU340" s="526"/>
      <c r="AV340" s="526"/>
      <c r="AW340" s="526"/>
      <c r="AX340" s="526"/>
      <c r="AY340" s="526"/>
      <c r="AZ340" s="526"/>
      <c r="BA340" s="526"/>
      <c r="BB340" s="526"/>
      <c r="BC340" s="526"/>
      <c r="BD340" s="526"/>
      <c r="BE340" s="526"/>
      <c r="BF340" s="526"/>
      <c r="BG340" s="526"/>
    </row>
    <row r="341" spans="1:59" s="830" customFormat="1" ht="17.25" customHeight="1" x14ac:dyDescent="0.25">
      <c r="A341" s="865"/>
      <c r="B341" s="865"/>
      <c r="C341" s="908"/>
      <c r="G341" s="865"/>
      <c r="H341" s="874"/>
      <c r="I341" s="869"/>
      <c r="J341" s="869"/>
      <c r="K341" s="869"/>
      <c r="L341" s="869"/>
      <c r="M341" s="874"/>
      <c r="O341" s="874"/>
      <c r="P341" s="874"/>
      <c r="Q341" s="874"/>
      <c r="R341" s="874"/>
      <c r="S341" s="874"/>
      <c r="T341" s="874"/>
      <c r="W341" s="874"/>
      <c r="X341" s="874"/>
      <c r="Y341" s="874"/>
      <c r="Z341" s="874"/>
      <c r="AA341" s="874"/>
      <c r="AD341" s="526"/>
      <c r="AE341" s="526"/>
      <c r="AF341" s="526"/>
      <c r="AG341" s="526"/>
      <c r="AH341" s="526"/>
      <c r="AI341" s="526"/>
      <c r="AJ341" s="526"/>
      <c r="AK341" s="526"/>
      <c r="AL341" s="526"/>
      <c r="AM341" s="526"/>
      <c r="AN341" s="526"/>
      <c r="AO341" s="526"/>
      <c r="AP341" s="526"/>
      <c r="AQ341" s="526"/>
      <c r="AR341" s="526"/>
      <c r="AS341" s="526"/>
      <c r="AT341" s="526"/>
      <c r="AU341" s="526"/>
      <c r="AV341" s="526"/>
      <c r="AW341" s="526"/>
      <c r="AX341" s="526"/>
      <c r="AY341" s="526"/>
      <c r="AZ341" s="526"/>
      <c r="BA341" s="526"/>
      <c r="BB341" s="526"/>
      <c r="BC341" s="526"/>
      <c r="BD341" s="526"/>
      <c r="BE341" s="526"/>
      <c r="BF341" s="526"/>
      <c r="BG341" s="526"/>
    </row>
    <row r="342" spans="1:59" s="830" customFormat="1" ht="17.25" customHeight="1" x14ac:dyDescent="0.25">
      <c r="A342" s="865"/>
      <c r="B342" s="865"/>
      <c r="C342" s="908"/>
      <c r="G342" s="865"/>
      <c r="H342" s="874"/>
      <c r="I342" s="869"/>
      <c r="J342" s="869"/>
      <c r="K342" s="869"/>
      <c r="L342" s="869"/>
      <c r="M342" s="874"/>
      <c r="O342" s="874"/>
      <c r="P342" s="874"/>
      <c r="Q342" s="874"/>
      <c r="R342" s="874"/>
      <c r="S342" s="874"/>
      <c r="T342" s="874"/>
      <c r="W342" s="874"/>
      <c r="X342" s="874"/>
      <c r="Y342" s="874"/>
      <c r="Z342" s="874"/>
      <c r="AA342" s="874"/>
      <c r="AD342" s="526"/>
      <c r="AE342" s="526"/>
      <c r="AF342" s="526"/>
      <c r="AG342" s="526"/>
      <c r="AH342" s="526"/>
      <c r="AI342" s="526"/>
      <c r="AJ342" s="526"/>
      <c r="AK342" s="526"/>
      <c r="AL342" s="526"/>
      <c r="AM342" s="526"/>
      <c r="AN342" s="526"/>
      <c r="AO342" s="526"/>
      <c r="AP342" s="526"/>
      <c r="AQ342" s="526"/>
      <c r="AR342" s="526"/>
      <c r="AS342" s="526"/>
      <c r="AT342" s="526"/>
      <c r="AU342" s="526"/>
      <c r="AV342" s="526"/>
      <c r="AW342" s="526"/>
      <c r="AX342" s="526"/>
      <c r="AY342" s="526"/>
      <c r="AZ342" s="526"/>
      <c r="BA342" s="526"/>
      <c r="BB342" s="526"/>
      <c r="BC342" s="526"/>
      <c r="BD342" s="526"/>
      <c r="BE342" s="526"/>
      <c r="BF342" s="526"/>
      <c r="BG342" s="526"/>
    </row>
    <row r="343" spans="1:59" s="830" customFormat="1" ht="17.25" customHeight="1" x14ac:dyDescent="0.25">
      <c r="A343" s="865"/>
      <c r="B343" s="865"/>
      <c r="C343" s="908"/>
      <c r="G343" s="865"/>
      <c r="H343" s="874"/>
      <c r="I343" s="869"/>
      <c r="J343" s="869"/>
      <c r="K343" s="869"/>
      <c r="L343" s="869"/>
      <c r="M343" s="874"/>
      <c r="O343" s="874"/>
      <c r="P343" s="874"/>
      <c r="Q343" s="874"/>
      <c r="R343" s="874"/>
      <c r="S343" s="874"/>
      <c r="T343" s="874"/>
      <c r="W343" s="874"/>
      <c r="X343" s="874"/>
      <c r="Y343" s="874"/>
      <c r="Z343" s="874"/>
      <c r="AA343" s="874"/>
      <c r="AD343" s="526"/>
      <c r="AE343" s="526"/>
      <c r="AF343" s="526"/>
      <c r="AG343" s="526"/>
      <c r="AH343" s="526"/>
      <c r="AI343" s="526"/>
      <c r="AJ343" s="526"/>
      <c r="AK343" s="526"/>
      <c r="AL343" s="526"/>
      <c r="AM343" s="526"/>
      <c r="AN343" s="526"/>
      <c r="AO343" s="526"/>
      <c r="AP343" s="526"/>
      <c r="AQ343" s="526"/>
      <c r="AR343" s="526"/>
      <c r="AS343" s="526"/>
      <c r="AT343" s="526"/>
      <c r="AU343" s="526"/>
      <c r="AV343" s="526"/>
      <c r="AW343" s="526"/>
      <c r="AX343" s="526"/>
      <c r="AY343" s="526"/>
      <c r="AZ343" s="526"/>
      <c r="BA343" s="526"/>
      <c r="BB343" s="526"/>
      <c r="BC343" s="526"/>
      <c r="BD343" s="526"/>
      <c r="BE343" s="526"/>
      <c r="BF343" s="526"/>
      <c r="BG343" s="526"/>
    </row>
    <row r="344" spans="1:59" s="830" customFormat="1" ht="17.25" customHeight="1" x14ac:dyDescent="0.25">
      <c r="A344" s="865"/>
      <c r="B344" s="865"/>
      <c r="C344" s="908"/>
      <c r="G344" s="865"/>
      <c r="H344" s="874"/>
      <c r="I344" s="869"/>
      <c r="J344" s="869"/>
      <c r="K344" s="869"/>
      <c r="L344" s="869"/>
      <c r="M344" s="874"/>
      <c r="O344" s="874"/>
      <c r="P344" s="874"/>
      <c r="Q344" s="874"/>
      <c r="R344" s="874"/>
      <c r="S344" s="874"/>
      <c r="T344" s="874"/>
      <c r="W344" s="874"/>
      <c r="X344" s="874"/>
      <c r="Y344" s="874"/>
      <c r="Z344" s="874"/>
      <c r="AA344" s="874"/>
      <c r="AD344" s="526"/>
      <c r="AE344" s="526"/>
      <c r="AF344" s="526"/>
      <c r="AG344" s="526"/>
      <c r="AH344" s="526"/>
      <c r="AI344" s="526"/>
      <c r="AJ344" s="526"/>
      <c r="AK344" s="526"/>
      <c r="AL344" s="526"/>
      <c r="AM344" s="526"/>
      <c r="AN344" s="526"/>
      <c r="AO344" s="526"/>
      <c r="AP344" s="526"/>
      <c r="AQ344" s="526"/>
      <c r="AR344" s="526"/>
      <c r="AS344" s="526"/>
      <c r="AT344" s="526"/>
      <c r="AU344" s="526"/>
      <c r="AV344" s="526"/>
      <c r="AW344" s="526"/>
      <c r="AX344" s="526"/>
      <c r="AY344" s="526"/>
      <c r="AZ344" s="526"/>
      <c r="BA344" s="526"/>
      <c r="BB344" s="526"/>
      <c r="BC344" s="526"/>
      <c r="BD344" s="526"/>
      <c r="BE344" s="526"/>
      <c r="BF344" s="526"/>
      <c r="BG344" s="526"/>
    </row>
    <row r="345" spans="1:59" s="830" customFormat="1" ht="17.25" customHeight="1" x14ac:dyDescent="0.25">
      <c r="A345" s="865"/>
      <c r="B345" s="865"/>
      <c r="C345" s="908"/>
      <c r="G345" s="865"/>
      <c r="H345" s="874"/>
      <c r="I345" s="869"/>
      <c r="J345" s="869"/>
      <c r="K345" s="869"/>
      <c r="L345" s="869"/>
      <c r="M345" s="874"/>
      <c r="O345" s="874"/>
      <c r="P345" s="874"/>
      <c r="Q345" s="874"/>
      <c r="R345" s="874"/>
      <c r="S345" s="874"/>
      <c r="T345" s="874"/>
      <c r="W345" s="874"/>
      <c r="X345" s="874"/>
      <c r="Y345" s="874"/>
      <c r="Z345" s="874"/>
      <c r="AA345" s="874"/>
      <c r="AD345" s="526"/>
      <c r="AE345" s="526"/>
      <c r="AF345" s="526"/>
      <c r="AG345" s="526"/>
      <c r="AH345" s="526"/>
      <c r="AI345" s="526"/>
      <c r="AJ345" s="526"/>
      <c r="AK345" s="526"/>
      <c r="AL345" s="526"/>
      <c r="AM345" s="526"/>
      <c r="AN345" s="526"/>
      <c r="AO345" s="526"/>
      <c r="AP345" s="526"/>
      <c r="AQ345" s="526"/>
      <c r="AR345" s="526"/>
      <c r="AS345" s="526"/>
      <c r="AT345" s="526"/>
      <c r="AU345" s="526"/>
      <c r="AV345" s="526"/>
      <c r="AW345" s="526"/>
      <c r="AX345" s="526"/>
      <c r="AY345" s="526"/>
      <c r="AZ345" s="526"/>
      <c r="BA345" s="526"/>
      <c r="BB345" s="526"/>
      <c r="BC345" s="526"/>
      <c r="BD345" s="526"/>
      <c r="BE345" s="526"/>
      <c r="BF345" s="526"/>
      <c r="BG345" s="526"/>
    </row>
    <row r="346" spans="1:59" s="830" customFormat="1" ht="17.25" customHeight="1" x14ac:dyDescent="0.25">
      <c r="A346" s="865"/>
      <c r="B346" s="865"/>
      <c r="C346" s="908"/>
      <c r="G346" s="865"/>
      <c r="H346" s="874"/>
      <c r="I346" s="869"/>
      <c r="J346" s="869"/>
      <c r="K346" s="869"/>
      <c r="L346" s="869"/>
      <c r="M346" s="874"/>
      <c r="O346" s="874"/>
      <c r="P346" s="874"/>
      <c r="Q346" s="874"/>
      <c r="R346" s="874"/>
      <c r="S346" s="874"/>
      <c r="T346" s="874"/>
      <c r="W346" s="874"/>
      <c r="X346" s="874"/>
      <c r="Y346" s="874"/>
      <c r="Z346" s="874"/>
      <c r="AA346" s="874"/>
      <c r="AD346" s="526"/>
      <c r="AE346" s="526"/>
      <c r="AF346" s="526"/>
      <c r="AG346" s="526"/>
      <c r="AH346" s="526"/>
      <c r="AI346" s="526"/>
      <c r="AJ346" s="526"/>
      <c r="AK346" s="526"/>
      <c r="AL346" s="526"/>
      <c r="AM346" s="526"/>
      <c r="AN346" s="526"/>
      <c r="AO346" s="526"/>
      <c r="AP346" s="526"/>
      <c r="AQ346" s="526"/>
      <c r="AR346" s="526"/>
      <c r="AS346" s="526"/>
      <c r="AT346" s="526"/>
      <c r="AU346" s="526"/>
      <c r="AV346" s="526"/>
      <c r="AW346" s="526"/>
      <c r="AX346" s="526"/>
      <c r="AY346" s="526"/>
      <c r="AZ346" s="526"/>
      <c r="BA346" s="526"/>
      <c r="BB346" s="526"/>
      <c r="BC346" s="526"/>
      <c r="BD346" s="526"/>
      <c r="BE346" s="526"/>
      <c r="BF346" s="526"/>
      <c r="BG346" s="526"/>
    </row>
    <row r="347" spans="1:59" s="830" customFormat="1" ht="17.25" customHeight="1" x14ac:dyDescent="0.25">
      <c r="A347" s="865"/>
      <c r="B347" s="865"/>
      <c r="C347" s="908"/>
      <c r="G347" s="865"/>
      <c r="H347" s="874"/>
      <c r="I347" s="869"/>
      <c r="J347" s="869"/>
      <c r="K347" s="869"/>
      <c r="L347" s="869"/>
      <c r="M347" s="874"/>
      <c r="O347" s="874"/>
      <c r="P347" s="874"/>
      <c r="Q347" s="874"/>
      <c r="R347" s="874"/>
      <c r="S347" s="874"/>
      <c r="T347" s="874"/>
      <c r="W347" s="874"/>
      <c r="X347" s="874"/>
      <c r="Y347" s="874"/>
      <c r="Z347" s="874"/>
      <c r="AA347" s="874"/>
      <c r="AD347" s="526"/>
      <c r="AE347" s="526"/>
      <c r="AF347" s="526"/>
      <c r="AG347" s="526"/>
      <c r="AH347" s="526"/>
      <c r="AI347" s="526"/>
      <c r="AJ347" s="526"/>
      <c r="AK347" s="526"/>
      <c r="AL347" s="526"/>
      <c r="AM347" s="526"/>
      <c r="AN347" s="526"/>
      <c r="AO347" s="526"/>
      <c r="AP347" s="526"/>
      <c r="AQ347" s="526"/>
      <c r="AR347" s="526"/>
      <c r="AS347" s="526"/>
      <c r="AT347" s="526"/>
      <c r="AU347" s="526"/>
      <c r="AV347" s="526"/>
      <c r="AW347" s="526"/>
      <c r="AX347" s="526"/>
      <c r="AY347" s="526"/>
      <c r="AZ347" s="526"/>
      <c r="BA347" s="526"/>
      <c r="BB347" s="526"/>
      <c r="BC347" s="526"/>
      <c r="BD347" s="526"/>
      <c r="BE347" s="526"/>
      <c r="BF347" s="526"/>
      <c r="BG347" s="526"/>
    </row>
    <row r="348" spans="1:59" s="830" customFormat="1" ht="17.25" customHeight="1" x14ac:dyDescent="0.25">
      <c r="A348" s="865"/>
      <c r="B348" s="865"/>
      <c r="C348" s="908"/>
      <c r="G348" s="865"/>
      <c r="H348" s="874"/>
      <c r="I348" s="869"/>
      <c r="J348" s="869"/>
      <c r="K348" s="869"/>
      <c r="L348" s="869"/>
      <c r="M348" s="874"/>
      <c r="O348" s="874"/>
      <c r="P348" s="874"/>
      <c r="Q348" s="874"/>
      <c r="R348" s="874"/>
      <c r="S348" s="874"/>
      <c r="T348" s="874"/>
      <c r="W348" s="874"/>
      <c r="X348" s="874"/>
      <c r="Y348" s="874"/>
      <c r="Z348" s="874"/>
      <c r="AA348" s="874"/>
      <c r="AD348" s="526"/>
      <c r="AE348" s="526"/>
      <c r="AF348" s="526"/>
      <c r="AG348" s="526"/>
      <c r="AH348" s="526"/>
      <c r="AI348" s="526"/>
      <c r="AJ348" s="526"/>
      <c r="AK348" s="526"/>
      <c r="AL348" s="526"/>
      <c r="AM348" s="526"/>
      <c r="AN348" s="526"/>
      <c r="AO348" s="526"/>
      <c r="AP348" s="526"/>
      <c r="AQ348" s="526"/>
      <c r="AR348" s="526"/>
      <c r="AS348" s="526"/>
      <c r="AT348" s="526"/>
      <c r="AU348" s="526"/>
      <c r="AV348" s="526"/>
      <c r="AW348" s="526"/>
      <c r="AX348" s="526"/>
      <c r="AY348" s="526"/>
      <c r="AZ348" s="526"/>
      <c r="BA348" s="526"/>
      <c r="BB348" s="526"/>
      <c r="BC348" s="526"/>
      <c r="BD348" s="526"/>
      <c r="BE348" s="526"/>
      <c r="BF348" s="526"/>
      <c r="BG348" s="526"/>
    </row>
    <row r="349" spans="1:59" s="830" customFormat="1" ht="17.25" customHeight="1" x14ac:dyDescent="0.25">
      <c r="A349" s="865"/>
      <c r="B349" s="865"/>
      <c r="C349" s="908"/>
      <c r="G349" s="865"/>
      <c r="H349" s="874"/>
      <c r="I349" s="869"/>
      <c r="J349" s="869"/>
      <c r="K349" s="869"/>
      <c r="L349" s="869"/>
      <c r="M349" s="874"/>
      <c r="O349" s="874"/>
      <c r="P349" s="874"/>
      <c r="Q349" s="874"/>
      <c r="R349" s="874"/>
      <c r="S349" s="874"/>
      <c r="T349" s="874"/>
      <c r="W349" s="874"/>
      <c r="X349" s="874"/>
      <c r="Y349" s="874"/>
      <c r="Z349" s="874"/>
      <c r="AA349" s="874"/>
      <c r="AD349" s="526"/>
      <c r="AE349" s="526"/>
      <c r="AF349" s="526"/>
      <c r="AG349" s="526"/>
      <c r="AH349" s="526"/>
      <c r="AI349" s="526"/>
      <c r="AJ349" s="526"/>
      <c r="AK349" s="526"/>
      <c r="AL349" s="526"/>
      <c r="AM349" s="526"/>
      <c r="AN349" s="526"/>
      <c r="AO349" s="526"/>
      <c r="AP349" s="526"/>
      <c r="AQ349" s="526"/>
      <c r="AR349" s="526"/>
      <c r="AS349" s="526"/>
      <c r="AT349" s="526"/>
      <c r="AU349" s="526"/>
      <c r="AV349" s="526"/>
      <c r="AW349" s="526"/>
      <c r="AX349" s="526"/>
      <c r="AY349" s="526"/>
      <c r="AZ349" s="526"/>
      <c r="BA349" s="526"/>
      <c r="BB349" s="526"/>
      <c r="BC349" s="526"/>
      <c r="BD349" s="526"/>
      <c r="BE349" s="526"/>
      <c r="BF349" s="526"/>
      <c r="BG349" s="526"/>
    </row>
    <row r="350" spans="1:59" s="830" customFormat="1" ht="17.25" customHeight="1" x14ac:dyDescent="0.25">
      <c r="A350" s="865"/>
      <c r="B350" s="865"/>
      <c r="C350" s="908"/>
      <c r="G350" s="865"/>
      <c r="H350" s="874"/>
      <c r="I350" s="869"/>
      <c r="J350" s="869"/>
      <c r="K350" s="869"/>
      <c r="L350" s="869"/>
      <c r="M350" s="874"/>
      <c r="O350" s="874"/>
      <c r="P350" s="874"/>
      <c r="Q350" s="874"/>
      <c r="R350" s="874"/>
      <c r="S350" s="874"/>
      <c r="T350" s="874"/>
      <c r="W350" s="874"/>
      <c r="X350" s="874"/>
      <c r="Y350" s="874"/>
      <c r="Z350" s="874"/>
      <c r="AA350" s="874"/>
      <c r="AD350" s="526"/>
      <c r="AE350" s="526"/>
      <c r="AF350" s="526"/>
      <c r="AG350" s="526"/>
      <c r="AH350" s="526"/>
      <c r="AI350" s="526"/>
      <c r="AJ350" s="526"/>
      <c r="AK350" s="526"/>
      <c r="AL350" s="526"/>
      <c r="AM350" s="526"/>
      <c r="AN350" s="526"/>
      <c r="AO350" s="526"/>
      <c r="AP350" s="526"/>
      <c r="AQ350" s="526"/>
      <c r="AR350" s="526"/>
      <c r="AS350" s="526"/>
      <c r="AT350" s="526"/>
      <c r="AU350" s="526"/>
      <c r="AV350" s="526"/>
      <c r="AW350" s="526"/>
      <c r="AX350" s="526"/>
      <c r="AY350" s="526"/>
      <c r="AZ350" s="526"/>
      <c r="BA350" s="526"/>
      <c r="BB350" s="526"/>
      <c r="BC350" s="526"/>
      <c r="BD350" s="526"/>
      <c r="BE350" s="526"/>
      <c r="BF350" s="526"/>
      <c r="BG350" s="526"/>
    </row>
    <row r="351" spans="1:59" s="830" customFormat="1" ht="17.25" customHeight="1" x14ac:dyDescent="0.25">
      <c r="A351" s="865"/>
      <c r="B351" s="865"/>
      <c r="C351" s="908"/>
      <c r="G351" s="865"/>
      <c r="H351" s="874"/>
      <c r="I351" s="869"/>
      <c r="J351" s="869"/>
      <c r="K351" s="869"/>
      <c r="L351" s="869"/>
      <c r="M351" s="874"/>
      <c r="O351" s="874"/>
      <c r="P351" s="874"/>
      <c r="Q351" s="874"/>
      <c r="R351" s="874"/>
      <c r="S351" s="874"/>
      <c r="T351" s="874"/>
      <c r="W351" s="874"/>
      <c r="X351" s="874"/>
      <c r="Y351" s="874"/>
      <c r="Z351" s="874"/>
      <c r="AA351" s="874"/>
      <c r="AD351" s="526"/>
      <c r="AE351" s="526"/>
      <c r="AF351" s="526"/>
      <c r="AG351" s="526"/>
      <c r="AH351" s="526"/>
      <c r="AI351" s="526"/>
      <c r="AJ351" s="526"/>
      <c r="AK351" s="526"/>
      <c r="AL351" s="526"/>
      <c r="AM351" s="526"/>
      <c r="AN351" s="526"/>
      <c r="AO351" s="526"/>
      <c r="AP351" s="526"/>
      <c r="AQ351" s="526"/>
      <c r="AR351" s="526"/>
      <c r="AS351" s="526"/>
      <c r="AT351" s="526"/>
      <c r="AU351" s="526"/>
      <c r="AV351" s="526"/>
      <c r="AW351" s="526"/>
      <c r="AX351" s="526"/>
      <c r="AY351" s="526"/>
      <c r="AZ351" s="526"/>
      <c r="BA351" s="526"/>
      <c r="BB351" s="526"/>
      <c r="BC351" s="526"/>
      <c r="BD351" s="526"/>
      <c r="BE351" s="526"/>
      <c r="BF351" s="526"/>
      <c r="BG351" s="526"/>
    </row>
    <row r="352" spans="1:59" s="830" customFormat="1" ht="17.25" customHeight="1" x14ac:dyDescent="0.25">
      <c r="A352" s="865"/>
      <c r="B352" s="865"/>
      <c r="C352" s="908"/>
      <c r="G352" s="865"/>
      <c r="H352" s="874"/>
      <c r="I352" s="869"/>
      <c r="J352" s="869"/>
      <c r="K352" s="869"/>
      <c r="L352" s="869"/>
      <c r="M352" s="874"/>
      <c r="O352" s="874"/>
      <c r="P352" s="874"/>
      <c r="Q352" s="874"/>
      <c r="R352" s="874"/>
      <c r="S352" s="874"/>
      <c r="T352" s="874"/>
      <c r="W352" s="874"/>
      <c r="X352" s="874"/>
      <c r="Y352" s="874"/>
      <c r="Z352" s="874"/>
      <c r="AA352" s="874"/>
      <c r="AD352" s="526"/>
      <c r="AE352" s="526"/>
      <c r="AF352" s="526"/>
      <c r="AG352" s="526"/>
      <c r="AH352" s="526"/>
      <c r="AI352" s="526"/>
      <c r="AJ352" s="526"/>
      <c r="AK352" s="526"/>
      <c r="AL352" s="526"/>
      <c r="AM352" s="526"/>
      <c r="AN352" s="526"/>
      <c r="AO352" s="526"/>
      <c r="AP352" s="526"/>
      <c r="AQ352" s="526"/>
      <c r="AR352" s="526"/>
      <c r="AS352" s="526"/>
      <c r="AT352" s="526"/>
      <c r="AU352" s="526"/>
      <c r="AV352" s="526"/>
      <c r="AW352" s="526"/>
      <c r="AX352" s="526"/>
      <c r="AY352" s="526"/>
      <c r="AZ352" s="526"/>
      <c r="BA352" s="526"/>
      <c r="BB352" s="526"/>
      <c r="BC352" s="526"/>
      <c r="BD352" s="526"/>
      <c r="BE352" s="526"/>
      <c r="BF352" s="526"/>
      <c r="BG352" s="526"/>
    </row>
    <row r="353" spans="1:59" s="830" customFormat="1" ht="17.25" customHeight="1" x14ac:dyDescent="0.25">
      <c r="A353" s="865"/>
      <c r="B353" s="865"/>
      <c r="C353" s="908"/>
      <c r="G353" s="865"/>
      <c r="H353" s="874"/>
      <c r="I353" s="869"/>
      <c r="J353" s="869"/>
      <c r="K353" s="869"/>
      <c r="L353" s="869"/>
      <c r="M353" s="874"/>
      <c r="O353" s="874"/>
      <c r="P353" s="874"/>
      <c r="Q353" s="874"/>
      <c r="R353" s="874"/>
      <c r="S353" s="874"/>
      <c r="T353" s="874"/>
      <c r="W353" s="874"/>
      <c r="X353" s="874"/>
      <c r="Y353" s="874"/>
      <c r="Z353" s="874"/>
      <c r="AA353" s="874"/>
      <c r="AD353" s="526"/>
      <c r="AE353" s="526"/>
      <c r="AF353" s="526"/>
      <c r="AG353" s="526"/>
      <c r="AH353" s="526"/>
      <c r="AI353" s="526"/>
      <c r="AJ353" s="526"/>
      <c r="AK353" s="526"/>
      <c r="AL353" s="526"/>
      <c r="AM353" s="526"/>
      <c r="AN353" s="526"/>
      <c r="AO353" s="526"/>
      <c r="AP353" s="526"/>
      <c r="AQ353" s="526"/>
      <c r="AR353" s="526"/>
      <c r="AS353" s="526"/>
      <c r="AT353" s="526"/>
      <c r="AU353" s="526"/>
      <c r="AV353" s="526"/>
      <c r="AW353" s="526"/>
      <c r="AX353" s="526"/>
      <c r="AY353" s="526"/>
      <c r="AZ353" s="526"/>
      <c r="BA353" s="526"/>
      <c r="BB353" s="526"/>
      <c r="BC353" s="526"/>
      <c r="BD353" s="526"/>
      <c r="BE353" s="526"/>
      <c r="BF353" s="526"/>
      <c r="BG353" s="526"/>
    </row>
    <row r="354" spans="1:59" s="830" customFormat="1" ht="17.25" customHeight="1" x14ac:dyDescent="0.25">
      <c r="A354" s="865"/>
      <c r="B354" s="865"/>
      <c r="C354" s="908"/>
      <c r="G354" s="865"/>
      <c r="H354" s="874"/>
      <c r="I354" s="869"/>
      <c r="J354" s="869"/>
      <c r="K354" s="869"/>
      <c r="L354" s="869"/>
      <c r="M354" s="874"/>
      <c r="O354" s="874"/>
      <c r="P354" s="874"/>
      <c r="Q354" s="874"/>
      <c r="R354" s="874"/>
      <c r="S354" s="874"/>
      <c r="T354" s="874"/>
      <c r="W354" s="874"/>
      <c r="X354" s="874"/>
      <c r="Y354" s="874"/>
      <c r="Z354" s="874"/>
      <c r="AA354" s="874"/>
      <c r="AD354" s="526"/>
      <c r="AE354" s="526"/>
      <c r="AF354" s="526"/>
      <c r="AG354" s="526"/>
      <c r="AH354" s="526"/>
      <c r="AI354" s="526"/>
      <c r="AJ354" s="526"/>
      <c r="AK354" s="526"/>
      <c r="AL354" s="526"/>
      <c r="AM354" s="526"/>
      <c r="AN354" s="526"/>
      <c r="AO354" s="526"/>
      <c r="AP354" s="526"/>
      <c r="AQ354" s="526"/>
      <c r="AR354" s="526"/>
      <c r="AS354" s="526"/>
      <c r="AT354" s="526"/>
      <c r="AU354" s="526"/>
      <c r="AV354" s="526"/>
      <c r="AW354" s="526"/>
      <c r="AX354" s="526"/>
      <c r="AY354" s="526"/>
      <c r="AZ354" s="526"/>
      <c r="BA354" s="526"/>
      <c r="BB354" s="526"/>
      <c r="BC354" s="526"/>
      <c r="BD354" s="526"/>
      <c r="BE354" s="526"/>
      <c r="BF354" s="526"/>
      <c r="BG354" s="526"/>
    </row>
    <row r="355" spans="1:59" s="830" customFormat="1" ht="17.25" customHeight="1" x14ac:dyDescent="0.25">
      <c r="A355" s="865"/>
      <c r="B355" s="865"/>
      <c r="C355" s="908"/>
      <c r="G355" s="865"/>
      <c r="H355" s="874"/>
      <c r="I355" s="869"/>
      <c r="J355" s="869"/>
      <c r="K355" s="869"/>
      <c r="L355" s="869"/>
      <c r="M355" s="874"/>
      <c r="O355" s="874"/>
      <c r="P355" s="874"/>
      <c r="Q355" s="874"/>
      <c r="R355" s="874"/>
      <c r="S355" s="874"/>
      <c r="T355" s="874"/>
      <c r="W355" s="874"/>
      <c r="X355" s="874"/>
      <c r="Y355" s="874"/>
      <c r="Z355" s="874"/>
      <c r="AA355" s="874"/>
      <c r="AD355" s="526"/>
      <c r="AE355" s="526"/>
      <c r="AF355" s="526"/>
      <c r="AG355" s="526"/>
      <c r="AH355" s="526"/>
      <c r="AI355" s="526"/>
      <c r="AJ355" s="526"/>
      <c r="AK355" s="526"/>
      <c r="AL355" s="526"/>
      <c r="AM355" s="526"/>
      <c r="AN355" s="526"/>
      <c r="AO355" s="526"/>
      <c r="AP355" s="526"/>
      <c r="AQ355" s="526"/>
      <c r="AR355" s="526"/>
      <c r="AS355" s="526"/>
      <c r="AT355" s="526"/>
      <c r="AU355" s="526"/>
      <c r="AV355" s="526"/>
      <c r="AW355" s="526"/>
      <c r="AX355" s="526"/>
      <c r="AY355" s="526"/>
      <c r="AZ355" s="526"/>
      <c r="BA355" s="526"/>
      <c r="BB355" s="526"/>
      <c r="BC355" s="526"/>
      <c r="BD355" s="526"/>
      <c r="BE355" s="526"/>
      <c r="BF355" s="526"/>
      <c r="BG355" s="526"/>
    </row>
    <row r="356" spans="1:59" s="830" customFormat="1" ht="17.25" customHeight="1" x14ac:dyDescent="0.25">
      <c r="A356" s="865"/>
      <c r="B356" s="865"/>
      <c r="C356" s="908"/>
      <c r="G356" s="865"/>
      <c r="H356" s="874"/>
      <c r="I356" s="869"/>
      <c r="J356" s="869"/>
      <c r="K356" s="869"/>
      <c r="L356" s="869"/>
      <c r="M356" s="874"/>
      <c r="O356" s="874"/>
      <c r="P356" s="874"/>
      <c r="Q356" s="874"/>
      <c r="R356" s="874"/>
      <c r="S356" s="874"/>
      <c r="T356" s="874"/>
      <c r="W356" s="874"/>
      <c r="X356" s="874"/>
      <c r="Y356" s="874"/>
      <c r="Z356" s="874"/>
      <c r="AA356" s="874"/>
      <c r="AD356" s="526"/>
      <c r="AE356" s="526"/>
      <c r="AF356" s="526"/>
      <c r="AG356" s="526"/>
      <c r="AH356" s="526"/>
      <c r="AI356" s="526"/>
      <c r="AJ356" s="526"/>
      <c r="AK356" s="526"/>
      <c r="AL356" s="526"/>
      <c r="AM356" s="526"/>
      <c r="AN356" s="526"/>
      <c r="AO356" s="526"/>
      <c r="AP356" s="526"/>
      <c r="AQ356" s="526"/>
      <c r="AR356" s="526"/>
      <c r="AS356" s="526"/>
      <c r="AT356" s="526"/>
      <c r="AU356" s="526"/>
      <c r="AV356" s="526"/>
      <c r="AW356" s="526"/>
      <c r="AX356" s="526"/>
      <c r="AY356" s="526"/>
      <c r="AZ356" s="526"/>
      <c r="BA356" s="526"/>
      <c r="BB356" s="526"/>
      <c r="BC356" s="526"/>
      <c r="BD356" s="526"/>
      <c r="BE356" s="526"/>
      <c r="BF356" s="526"/>
      <c r="BG356" s="526"/>
    </row>
    <row r="357" spans="1:59" s="830" customFormat="1" ht="17.25" customHeight="1" x14ac:dyDescent="0.25">
      <c r="A357" s="865"/>
      <c r="B357" s="865"/>
      <c r="C357" s="908"/>
      <c r="G357" s="865"/>
      <c r="H357" s="874"/>
      <c r="I357" s="869"/>
      <c r="J357" s="869"/>
      <c r="K357" s="869"/>
      <c r="L357" s="869"/>
      <c r="M357" s="874"/>
      <c r="O357" s="874"/>
      <c r="P357" s="874"/>
      <c r="Q357" s="874"/>
      <c r="R357" s="874"/>
      <c r="S357" s="874"/>
      <c r="T357" s="874"/>
      <c r="W357" s="874"/>
      <c r="X357" s="874"/>
      <c r="Y357" s="874"/>
      <c r="Z357" s="874"/>
      <c r="AA357" s="874"/>
      <c r="AD357" s="526"/>
      <c r="AE357" s="526"/>
      <c r="AF357" s="526"/>
      <c r="AG357" s="526"/>
      <c r="AH357" s="526"/>
      <c r="AI357" s="526"/>
      <c r="AJ357" s="526"/>
      <c r="AK357" s="526"/>
      <c r="AL357" s="526"/>
      <c r="AM357" s="526"/>
      <c r="AN357" s="526"/>
      <c r="AO357" s="526"/>
      <c r="AP357" s="526"/>
      <c r="AQ357" s="526"/>
      <c r="AR357" s="526"/>
      <c r="AS357" s="526"/>
      <c r="AT357" s="526"/>
      <c r="AU357" s="526"/>
      <c r="AV357" s="526"/>
      <c r="AW357" s="526"/>
      <c r="AX357" s="526"/>
      <c r="AY357" s="526"/>
      <c r="AZ357" s="526"/>
      <c r="BA357" s="526"/>
      <c r="BB357" s="526"/>
      <c r="BC357" s="526"/>
      <c r="BD357" s="526"/>
      <c r="BE357" s="526"/>
      <c r="BF357" s="526"/>
      <c r="BG357" s="526"/>
    </row>
    <row r="358" spans="1:59" s="830" customFormat="1" ht="17.25" customHeight="1" x14ac:dyDescent="0.25">
      <c r="A358" s="865"/>
      <c r="B358" s="865"/>
      <c r="C358" s="908"/>
      <c r="G358" s="865"/>
      <c r="H358" s="874"/>
      <c r="I358" s="869"/>
      <c r="J358" s="869"/>
      <c r="K358" s="869"/>
      <c r="L358" s="869"/>
      <c r="M358" s="874"/>
      <c r="O358" s="874"/>
      <c r="P358" s="874"/>
      <c r="Q358" s="874"/>
      <c r="R358" s="874"/>
      <c r="S358" s="874"/>
      <c r="T358" s="874"/>
      <c r="W358" s="874"/>
      <c r="X358" s="874"/>
      <c r="Y358" s="874"/>
      <c r="Z358" s="874"/>
      <c r="AA358" s="874"/>
      <c r="AD358" s="526"/>
      <c r="AE358" s="526"/>
      <c r="AF358" s="526"/>
      <c r="AG358" s="526"/>
      <c r="AH358" s="526"/>
      <c r="AI358" s="526"/>
      <c r="AJ358" s="526"/>
      <c r="AK358" s="526"/>
      <c r="AL358" s="526"/>
      <c r="AM358" s="526"/>
      <c r="AN358" s="526"/>
      <c r="AO358" s="526"/>
      <c r="AP358" s="526"/>
      <c r="AQ358" s="526"/>
      <c r="AR358" s="526"/>
      <c r="AS358" s="526"/>
      <c r="AT358" s="526"/>
      <c r="AU358" s="526"/>
      <c r="AV358" s="526"/>
      <c r="AW358" s="526"/>
      <c r="AX358" s="526"/>
      <c r="AY358" s="526"/>
      <c r="AZ358" s="526"/>
      <c r="BA358" s="526"/>
      <c r="BB358" s="526"/>
      <c r="BC358" s="526"/>
      <c r="BD358" s="526"/>
      <c r="BE358" s="526"/>
      <c r="BF358" s="526"/>
      <c r="BG358" s="526"/>
    </row>
    <row r="359" spans="1:59" s="830" customFormat="1" ht="17.25" customHeight="1" x14ac:dyDescent="0.25">
      <c r="A359" s="865"/>
      <c r="B359" s="865"/>
      <c r="C359" s="908"/>
      <c r="G359" s="865"/>
      <c r="H359" s="874"/>
      <c r="I359" s="869"/>
      <c r="J359" s="869"/>
      <c r="K359" s="869"/>
      <c r="L359" s="869"/>
      <c r="M359" s="874"/>
      <c r="O359" s="874"/>
      <c r="P359" s="874"/>
      <c r="Q359" s="874"/>
      <c r="R359" s="874"/>
      <c r="S359" s="874"/>
      <c r="T359" s="874"/>
      <c r="W359" s="874"/>
      <c r="X359" s="874"/>
      <c r="Y359" s="874"/>
      <c r="Z359" s="874"/>
      <c r="AA359" s="874"/>
      <c r="AD359" s="526"/>
      <c r="AE359" s="526"/>
      <c r="AF359" s="526"/>
      <c r="AG359" s="526"/>
      <c r="AH359" s="526"/>
      <c r="AI359" s="526"/>
      <c r="AJ359" s="526"/>
      <c r="AK359" s="526"/>
      <c r="AL359" s="526"/>
      <c r="AM359" s="526"/>
      <c r="AN359" s="526"/>
      <c r="AO359" s="526"/>
      <c r="AP359" s="526"/>
      <c r="AQ359" s="526"/>
      <c r="AR359" s="526"/>
      <c r="AS359" s="526"/>
      <c r="AT359" s="526"/>
      <c r="AU359" s="526"/>
      <c r="AV359" s="526"/>
      <c r="AW359" s="526"/>
      <c r="AX359" s="526"/>
      <c r="AY359" s="526"/>
      <c r="AZ359" s="526"/>
      <c r="BA359" s="526"/>
      <c r="BB359" s="526"/>
      <c r="BC359" s="526"/>
      <c r="BD359" s="526"/>
      <c r="BE359" s="526"/>
      <c r="BF359" s="526"/>
      <c r="BG359" s="526"/>
    </row>
    <row r="360" spans="1:59" s="830" customFormat="1" ht="17.25" customHeight="1" x14ac:dyDescent="0.25">
      <c r="A360" s="865"/>
      <c r="B360" s="865"/>
      <c r="C360" s="908"/>
      <c r="G360" s="865"/>
      <c r="H360" s="874"/>
      <c r="I360" s="869"/>
      <c r="J360" s="869"/>
      <c r="K360" s="869"/>
      <c r="L360" s="869"/>
      <c r="M360" s="874"/>
      <c r="O360" s="874"/>
      <c r="P360" s="874"/>
      <c r="Q360" s="874"/>
      <c r="R360" s="874"/>
      <c r="S360" s="874"/>
      <c r="T360" s="874"/>
      <c r="W360" s="874"/>
      <c r="X360" s="874"/>
      <c r="Y360" s="874"/>
      <c r="Z360" s="874"/>
      <c r="AA360" s="874"/>
      <c r="AD360" s="526"/>
      <c r="AE360" s="526"/>
      <c r="AF360" s="526"/>
      <c r="AG360" s="526"/>
      <c r="AH360" s="526"/>
      <c r="AI360" s="526"/>
      <c r="AJ360" s="526"/>
      <c r="AK360" s="526"/>
      <c r="AL360" s="526"/>
      <c r="AM360" s="526"/>
      <c r="AN360" s="526"/>
      <c r="AO360" s="526"/>
      <c r="AP360" s="526"/>
      <c r="AQ360" s="526"/>
      <c r="AR360" s="526"/>
      <c r="AS360" s="526"/>
      <c r="AT360" s="526"/>
      <c r="AU360" s="526"/>
      <c r="AV360" s="526"/>
      <c r="AW360" s="526"/>
      <c r="AX360" s="526"/>
      <c r="AY360" s="526"/>
      <c r="AZ360" s="526"/>
      <c r="BA360" s="526"/>
      <c r="BB360" s="526"/>
      <c r="BC360" s="526"/>
      <c r="BD360" s="526"/>
      <c r="BE360" s="526"/>
      <c r="BF360" s="526"/>
      <c r="BG360" s="526"/>
    </row>
    <row r="361" spans="1:59" s="830" customFormat="1" ht="17.25" customHeight="1" x14ac:dyDescent="0.25">
      <c r="A361" s="865"/>
      <c r="B361" s="865"/>
      <c r="C361" s="908"/>
      <c r="G361" s="865"/>
      <c r="H361" s="874"/>
      <c r="I361" s="869"/>
      <c r="J361" s="869"/>
      <c r="K361" s="869"/>
      <c r="L361" s="869"/>
      <c r="M361" s="874"/>
      <c r="O361" s="874"/>
      <c r="P361" s="874"/>
      <c r="Q361" s="874"/>
      <c r="R361" s="874"/>
      <c r="S361" s="874"/>
      <c r="T361" s="874"/>
      <c r="W361" s="874"/>
      <c r="X361" s="874"/>
      <c r="Y361" s="874"/>
      <c r="Z361" s="874"/>
      <c r="AA361" s="874"/>
      <c r="AD361" s="526"/>
      <c r="AE361" s="526"/>
      <c r="AF361" s="526"/>
      <c r="AG361" s="526"/>
      <c r="AH361" s="526"/>
      <c r="AI361" s="526"/>
      <c r="AJ361" s="526"/>
      <c r="AK361" s="526"/>
      <c r="AL361" s="526"/>
      <c r="AM361" s="526"/>
      <c r="AN361" s="526"/>
      <c r="AO361" s="526"/>
      <c r="AP361" s="526"/>
      <c r="AQ361" s="526"/>
      <c r="AR361" s="526"/>
      <c r="AS361" s="526"/>
      <c r="AT361" s="526"/>
      <c r="AU361" s="526"/>
      <c r="AV361" s="526"/>
      <c r="AW361" s="526"/>
      <c r="AX361" s="526"/>
      <c r="AY361" s="526"/>
      <c r="AZ361" s="526"/>
      <c r="BA361" s="526"/>
      <c r="BB361" s="526"/>
      <c r="BC361" s="526"/>
      <c r="BD361" s="526"/>
      <c r="BE361" s="526"/>
      <c r="BF361" s="526"/>
      <c r="BG361" s="526"/>
    </row>
    <row r="362" spans="1:59" s="830" customFormat="1" ht="17.25" customHeight="1" x14ac:dyDescent="0.25">
      <c r="A362" s="865"/>
      <c r="B362" s="865"/>
      <c r="C362" s="908"/>
      <c r="G362" s="865"/>
      <c r="H362" s="874"/>
      <c r="I362" s="869"/>
      <c r="J362" s="869"/>
      <c r="K362" s="869"/>
      <c r="L362" s="869"/>
      <c r="M362" s="874"/>
      <c r="O362" s="874"/>
      <c r="P362" s="874"/>
      <c r="Q362" s="874"/>
      <c r="R362" s="874"/>
      <c r="S362" s="874"/>
      <c r="T362" s="874"/>
      <c r="W362" s="874"/>
      <c r="X362" s="874"/>
      <c r="Y362" s="874"/>
      <c r="Z362" s="874"/>
      <c r="AA362" s="874"/>
      <c r="AD362" s="526"/>
      <c r="AE362" s="526"/>
      <c r="AF362" s="526"/>
      <c r="AG362" s="526"/>
      <c r="AH362" s="526"/>
      <c r="AI362" s="526"/>
      <c r="AJ362" s="526"/>
      <c r="AK362" s="526"/>
      <c r="AL362" s="526"/>
      <c r="AM362" s="526"/>
      <c r="AN362" s="526"/>
      <c r="AO362" s="526"/>
      <c r="AP362" s="526"/>
      <c r="AQ362" s="526"/>
      <c r="AR362" s="526"/>
      <c r="AS362" s="526"/>
      <c r="AT362" s="526"/>
      <c r="AU362" s="526"/>
      <c r="AV362" s="526"/>
      <c r="AW362" s="526"/>
      <c r="AX362" s="526"/>
      <c r="AY362" s="526"/>
      <c r="AZ362" s="526"/>
      <c r="BA362" s="526"/>
      <c r="BB362" s="526"/>
      <c r="BC362" s="526"/>
      <c r="BD362" s="526"/>
      <c r="BE362" s="526"/>
      <c r="BF362" s="526"/>
      <c r="BG362" s="526"/>
    </row>
    <row r="363" spans="1:59" s="830" customFormat="1" ht="17.25" customHeight="1" x14ac:dyDescent="0.25">
      <c r="A363" s="865"/>
      <c r="B363" s="865"/>
      <c r="C363" s="908"/>
      <c r="G363" s="865"/>
      <c r="H363" s="874"/>
      <c r="I363" s="869"/>
      <c r="J363" s="869"/>
      <c r="K363" s="869"/>
      <c r="L363" s="869"/>
      <c r="M363" s="874"/>
      <c r="O363" s="874"/>
      <c r="P363" s="874"/>
      <c r="Q363" s="874"/>
      <c r="R363" s="874"/>
      <c r="S363" s="874"/>
      <c r="T363" s="874"/>
      <c r="W363" s="874"/>
      <c r="X363" s="874"/>
      <c r="Y363" s="874"/>
      <c r="Z363" s="874"/>
      <c r="AA363" s="874"/>
      <c r="AD363" s="526"/>
      <c r="AE363" s="526"/>
      <c r="AF363" s="526"/>
      <c r="AG363" s="526"/>
      <c r="AH363" s="526"/>
      <c r="AI363" s="526"/>
      <c r="AJ363" s="526"/>
      <c r="AK363" s="526"/>
      <c r="AL363" s="526"/>
      <c r="AM363" s="526"/>
      <c r="AN363" s="526"/>
      <c r="AO363" s="526"/>
      <c r="AP363" s="526"/>
      <c r="AQ363" s="526"/>
      <c r="AR363" s="526"/>
      <c r="AS363" s="526"/>
      <c r="AT363" s="526"/>
      <c r="AU363" s="526"/>
      <c r="AV363" s="526"/>
      <c r="AW363" s="526"/>
      <c r="AX363" s="526"/>
      <c r="AY363" s="526"/>
      <c r="AZ363" s="526"/>
      <c r="BA363" s="526"/>
      <c r="BB363" s="526"/>
      <c r="BC363" s="526"/>
      <c r="BD363" s="526"/>
      <c r="BE363" s="526"/>
      <c r="BF363" s="526"/>
      <c r="BG363" s="526"/>
    </row>
    <row r="364" spans="1:59" s="830" customFormat="1" ht="17.25" customHeight="1" x14ac:dyDescent="0.25">
      <c r="A364" s="865"/>
      <c r="B364" s="865"/>
      <c r="C364" s="908"/>
      <c r="G364" s="865"/>
      <c r="H364" s="874"/>
      <c r="I364" s="869"/>
      <c r="J364" s="869"/>
      <c r="K364" s="869"/>
      <c r="L364" s="869"/>
      <c r="M364" s="874"/>
      <c r="O364" s="874"/>
      <c r="P364" s="874"/>
      <c r="Q364" s="874"/>
      <c r="R364" s="874"/>
      <c r="S364" s="874"/>
      <c r="T364" s="874"/>
      <c r="W364" s="874"/>
      <c r="X364" s="874"/>
      <c r="Y364" s="874"/>
      <c r="Z364" s="874"/>
      <c r="AA364" s="874"/>
      <c r="AD364" s="526"/>
      <c r="AE364" s="526"/>
      <c r="AF364" s="526"/>
      <c r="AG364" s="526"/>
      <c r="AH364" s="526"/>
      <c r="AI364" s="526"/>
      <c r="AJ364" s="526"/>
      <c r="AK364" s="526"/>
      <c r="AL364" s="526"/>
      <c r="AM364" s="526"/>
      <c r="AN364" s="526"/>
      <c r="AO364" s="526"/>
      <c r="AP364" s="526"/>
      <c r="AQ364" s="526"/>
      <c r="AR364" s="526"/>
      <c r="AS364" s="526"/>
      <c r="AT364" s="526"/>
      <c r="AU364" s="526"/>
      <c r="AV364" s="526"/>
      <c r="AW364" s="526"/>
      <c r="AX364" s="526"/>
      <c r="AY364" s="526"/>
      <c r="AZ364" s="526"/>
      <c r="BA364" s="526"/>
      <c r="BB364" s="526"/>
      <c r="BC364" s="526"/>
      <c r="BD364" s="526"/>
      <c r="BE364" s="526"/>
      <c r="BF364" s="526"/>
      <c r="BG364" s="526"/>
    </row>
    <row r="365" spans="1:59" s="830" customFormat="1" ht="17.25" customHeight="1" x14ac:dyDescent="0.25">
      <c r="A365" s="865"/>
      <c r="B365" s="865"/>
      <c r="C365" s="908"/>
      <c r="G365" s="865"/>
      <c r="H365" s="874"/>
      <c r="I365" s="869"/>
      <c r="J365" s="869"/>
      <c r="K365" s="869"/>
      <c r="L365" s="869"/>
      <c r="M365" s="874"/>
      <c r="O365" s="874"/>
      <c r="P365" s="874"/>
      <c r="Q365" s="874"/>
      <c r="R365" s="874"/>
      <c r="S365" s="874"/>
      <c r="T365" s="874"/>
      <c r="W365" s="874"/>
      <c r="X365" s="874"/>
      <c r="Y365" s="874"/>
      <c r="Z365" s="874"/>
      <c r="AA365" s="874"/>
      <c r="AD365" s="526"/>
      <c r="AE365" s="526"/>
      <c r="AF365" s="526"/>
      <c r="AG365" s="526"/>
      <c r="AH365" s="526"/>
      <c r="AI365" s="526"/>
      <c r="AJ365" s="526"/>
      <c r="AK365" s="526"/>
      <c r="AL365" s="526"/>
      <c r="AM365" s="526"/>
      <c r="AN365" s="526"/>
      <c r="AO365" s="526"/>
      <c r="AP365" s="526"/>
      <c r="AQ365" s="526"/>
      <c r="AR365" s="526"/>
      <c r="AS365" s="526"/>
      <c r="AT365" s="526"/>
      <c r="AU365" s="526"/>
      <c r="AV365" s="526"/>
      <c r="AW365" s="526"/>
      <c r="AX365" s="526"/>
      <c r="AY365" s="526"/>
      <c r="AZ365" s="526"/>
      <c r="BA365" s="526"/>
      <c r="BB365" s="526"/>
      <c r="BC365" s="526"/>
      <c r="BD365" s="526"/>
      <c r="BE365" s="526"/>
      <c r="BF365" s="526"/>
      <c r="BG365" s="526"/>
    </row>
    <row r="366" spans="1:59" s="830" customFormat="1" ht="17.25" customHeight="1" x14ac:dyDescent="0.25">
      <c r="A366" s="865"/>
      <c r="B366" s="865"/>
      <c r="C366" s="908"/>
      <c r="G366" s="865"/>
      <c r="H366" s="874"/>
      <c r="I366" s="869"/>
      <c r="J366" s="869"/>
      <c r="K366" s="869"/>
      <c r="L366" s="869"/>
      <c r="M366" s="874"/>
      <c r="O366" s="874"/>
      <c r="P366" s="874"/>
      <c r="Q366" s="874"/>
      <c r="R366" s="874"/>
      <c r="S366" s="874"/>
      <c r="T366" s="874"/>
      <c r="W366" s="874"/>
      <c r="X366" s="874"/>
      <c r="Y366" s="874"/>
      <c r="Z366" s="874"/>
      <c r="AA366" s="874"/>
      <c r="AD366" s="526"/>
      <c r="AE366" s="526"/>
      <c r="AF366" s="526"/>
      <c r="AG366" s="526"/>
      <c r="AH366" s="526"/>
      <c r="AI366" s="526"/>
      <c r="AJ366" s="526"/>
      <c r="AK366" s="526"/>
      <c r="AL366" s="526"/>
      <c r="AM366" s="526"/>
      <c r="AN366" s="526"/>
      <c r="AO366" s="526"/>
      <c r="AP366" s="526"/>
      <c r="AQ366" s="526"/>
      <c r="AR366" s="526"/>
      <c r="AS366" s="526"/>
      <c r="AT366" s="526"/>
      <c r="AU366" s="526"/>
      <c r="AV366" s="526"/>
      <c r="AW366" s="526"/>
      <c r="AX366" s="526"/>
      <c r="AY366" s="526"/>
      <c r="AZ366" s="526"/>
      <c r="BA366" s="526"/>
      <c r="BB366" s="526"/>
      <c r="BC366" s="526"/>
      <c r="BD366" s="526"/>
      <c r="BE366" s="526"/>
      <c r="BF366" s="526"/>
      <c r="BG366" s="526"/>
    </row>
    <row r="367" spans="1:59" s="830" customFormat="1" ht="17.25" customHeight="1" x14ac:dyDescent="0.25">
      <c r="A367" s="865"/>
      <c r="B367" s="865"/>
      <c r="C367" s="908"/>
      <c r="G367" s="865"/>
      <c r="H367" s="874"/>
      <c r="I367" s="869"/>
      <c r="J367" s="869"/>
      <c r="K367" s="869"/>
      <c r="L367" s="869"/>
      <c r="M367" s="874"/>
      <c r="O367" s="874"/>
      <c r="P367" s="874"/>
      <c r="Q367" s="874"/>
      <c r="R367" s="874"/>
      <c r="S367" s="874"/>
      <c r="T367" s="874"/>
      <c r="W367" s="874"/>
      <c r="X367" s="874"/>
      <c r="Y367" s="874"/>
      <c r="Z367" s="874"/>
      <c r="AA367" s="874"/>
      <c r="AD367" s="526"/>
      <c r="AE367" s="526"/>
      <c r="AF367" s="526"/>
      <c r="AG367" s="526"/>
      <c r="AH367" s="526"/>
      <c r="AI367" s="526"/>
      <c r="AJ367" s="526"/>
      <c r="AK367" s="526"/>
      <c r="AL367" s="526"/>
      <c r="AM367" s="526"/>
      <c r="AN367" s="526"/>
      <c r="AO367" s="526"/>
      <c r="AP367" s="526"/>
      <c r="AQ367" s="526"/>
      <c r="AR367" s="526"/>
      <c r="AS367" s="526"/>
      <c r="AT367" s="526"/>
      <c r="AU367" s="526"/>
      <c r="AV367" s="526"/>
      <c r="AW367" s="526"/>
      <c r="AX367" s="526"/>
      <c r="AY367" s="526"/>
      <c r="AZ367" s="526"/>
      <c r="BA367" s="526"/>
      <c r="BB367" s="526"/>
      <c r="BC367" s="526"/>
      <c r="BD367" s="526"/>
      <c r="BE367" s="526"/>
      <c r="BF367" s="526"/>
      <c r="BG367" s="526"/>
    </row>
    <row r="368" spans="1:59" s="830" customFormat="1" ht="17.25" customHeight="1" x14ac:dyDescent="0.25">
      <c r="A368" s="865"/>
      <c r="B368" s="865"/>
      <c r="C368" s="908"/>
      <c r="G368" s="865"/>
      <c r="H368" s="874"/>
      <c r="I368" s="869"/>
      <c r="J368" s="869"/>
      <c r="K368" s="869"/>
      <c r="L368" s="869"/>
      <c r="M368" s="874"/>
      <c r="O368" s="874"/>
      <c r="P368" s="874"/>
      <c r="Q368" s="874"/>
      <c r="R368" s="874"/>
      <c r="S368" s="874"/>
      <c r="T368" s="874"/>
      <c r="W368" s="874"/>
      <c r="X368" s="874"/>
      <c r="Y368" s="874"/>
      <c r="Z368" s="874"/>
      <c r="AA368" s="874"/>
      <c r="AD368" s="526"/>
      <c r="AE368" s="526"/>
      <c r="AF368" s="526"/>
      <c r="AG368" s="526"/>
      <c r="AH368" s="526"/>
      <c r="AI368" s="526"/>
      <c r="AJ368" s="526"/>
      <c r="AK368" s="526"/>
      <c r="AL368" s="526"/>
      <c r="AM368" s="526"/>
      <c r="AN368" s="526"/>
      <c r="AO368" s="526"/>
      <c r="AP368" s="526"/>
      <c r="AQ368" s="526"/>
      <c r="AR368" s="526"/>
      <c r="AS368" s="526"/>
      <c r="AT368" s="526"/>
      <c r="AU368" s="526"/>
      <c r="AV368" s="526"/>
      <c r="AW368" s="526"/>
      <c r="AX368" s="526"/>
      <c r="AY368" s="526"/>
      <c r="AZ368" s="526"/>
      <c r="BA368" s="526"/>
      <c r="BB368" s="526"/>
      <c r="BC368" s="526"/>
      <c r="BD368" s="526"/>
      <c r="BE368" s="526"/>
      <c r="BF368" s="526"/>
      <c r="BG368" s="526"/>
    </row>
    <row r="369" spans="1:59" s="830" customFormat="1" ht="17.25" customHeight="1" x14ac:dyDescent="0.25">
      <c r="A369" s="865"/>
      <c r="B369" s="865"/>
      <c r="C369" s="908"/>
      <c r="G369" s="865"/>
      <c r="H369" s="874"/>
      <c r="I369" s="869"/>
      <c r="J369" s="869"/>
      <c r="K369" s="869"/>
      <c r="L369" s="869"/>
      <c r="M369" s="874"/>
      <c r="O369" s="874"/>
      <c r="P369" s="874"/>
      <c r="Q369" s="874"/>
      <c r="R369" s="874"/>
      <c r="S369" s="874"/>
      <c r="T369" s="874"/>
      <c r="W369" s="874"/>
      <c r="X369" s="874"/>
      <c r="Y369" s="874"/>
      <c r="Z369" s="874"/>
      <c r="AA369" s="874"/>
      <c r="AD369" s="526"/>
      <c r="AE369" s="526"/>
      <c r="AF369" s="526"/>
      <c r="AG369" s="526"/>
      <c r="AH369" s="526"/>
      <c r="AI369" s="526"/>
      <c r="AJ369" s="526"/>
      <c r="AK369" s="526"/>
      <c r="AL369" s="526"/>
      <c r="AM369" s="526"/>
      <c r="AN369" s="526"/>
      <c r="AO369" s="526"/>
      <c r="AP369" s="526"/>
      <c r="AQ369" s="526"/>
      <c r="AR369" s="526"/>
      <c r="AS369" s="526"/>
      <c r="AT369" s="526"/>
      <c r="AU369" s="526"/>
      <c r="AV369" s="526"/>
      <c r="AW369" s="526"/>
      <c r="AX369" s="526"/>
      <c r="AY369" s="526"/>
      <c r="AZ369" s="526"/>
      <c r="BA369" s="526"/>
      <c r="BB369" s="526"/>
      <c r="BC369" s="526"/>
      <c r="BD369" s="526"/>
      <c r="BE369" s="526"/>
      <c r="BF369" s="526"/>
      <c r="BG369" s="526"/>
    </row>
    <row r="370" spans="1:59" s="830" customFormat="1" ht="17.25" customHeight="1" x14ac:dyDescent="0.25">
      <c r="A370" s="865"/>
      <c r="B370" s="865"/>
      <c r="C370" s="908"/>
      <c r="G370" s="865"/>
      <c r="H370" s="874"/>
      <c r="I370" s="869"/>
      <c r="J370" s="869"/>
      <c r="K370" s="869"/>
      <c r="L370" s="869"/>
      <c r="M370" s="874"/>
      <c r="O370" s="874"/>
      <c r="P370" s="874"/>
      <c r="Q370" s="874"/>
      <c r="R370" s="874"/>
      <c r="S370" s="874"/>
      <c r="T370" s="874"/>
      <c r="W370" s="874"/>
      <c r="X370" s="874"/>
      <c r="Y370" s="874"/>
      <c r="Z370" s="874"/>
      <c r="AA370" s="874"/>
      <c r="AD370" s="526"/>
      <c r="AE370" s="526"/>
      <c r="AF370" s="526"/>
      <c r="AG370" s="526"/>
      <c r="AH370" s="526"/>
      <c r="AI370" s="526"/>
      <c r="AJ370" s="526"/>
      <c r="AK370" s="526"/>
      <c r="AL370" s="526"/>
      <c r="AM370" s="526"/>
      <c r="AN370" s="526"/>
      <c r="AO370" s="526"/>
      <c r="AP370" s="526"/>
      <c r="AQ370" s="526"/>
      <c r="AR370" s="526"/>
      <c r="AS370" s="526"/>
      <c r="AT370" s="526"/>
      <c r="AU370" s="526"/>
      <c r="AV370" s="526"/>
      <c r="AW370" s="526"/>
      <c r="AX370" s="526"/>
      <c r="AY370" s="526"/>
      <c r="AZ370" s="526"/>
      <c r="BA370" s="526"/>
      <c r="BB370" s="526"/>
      <c r="BC370" s="526"/>
      <c r="BD370" s="526"/>
      <c r="BE370" s="526"/>
      <c r="BF370" s="526"/>
      <c r="BG370" s="526"/>
    </row>
    <row r="371" spans="1:59" s="830" customFormat="1" ht="17.25" customHeight="1" x14ac:dyDescent="0.25">
      <c r="A371" s="865"/>
      <c r="B371" s="865"/>
      <c r="C371" s="908"/>
      <c r="G371" s="865"/>
      <c r="H371" s="874"/>
      <c r="I371" s="869"/>
      <c r="J371" s="869"/>
      <c r="K371" s="869"/>
      <c r="L371" s="869"/>
      <c r="M371" s="874"/>
      <c r="O371" s="874"/>
      <c r="P371" s="874"/>
      <c r="Q371" s="874"/>
      <c r="R371" s="874"/>
      <c r="S371" s="874"/>
      <c r="T371" s="874"/>
      <c r="W371" s="874"/>
      <c r="X371" s="874"/>
      <c r="Y371" s="874"/>
      <c r="Z371" s="874"/>
      <c r="AA371" s="874"/>
      <c r="AD371" s="526"/>
      <c r="AE371" s="526"/>
      <c r="AF371" s="526"/>
      <c r="AG371" s="526"/>
      <c r="AH371" s="526"/>
      <c r="AI371" s="526"/>
      <c r="AJ371" s="526"/>
      <c r="AK371" s="526"/>
      <c r="AL371" s="526"/>
      <c r="AM371" s="526"/>
      <c r="AN371" s="526"/>
      <c r="AO371" s="526"/>
      <c r="AP371" s="526"/>
      <c r="AQ371" s="526"/>
      <c r="AR371" s="526"/>
      <c r="AS371" s="526"/>
      <c r="AT371" s="526"/>
      <c r="AU371" s="526"/>
      <c r="AV371" s="526"/>
      <c r="AW371" s="526"/>
      <c r="AX371" s="526"/>
      <c r="AY371" s="526"/>
      <c r="AZ371" s="526"/>
      <c r="BA371" s="526"/>
      <c r="BB371" s="526"/>
      <c r="BC371" s="526"/>
      <c r="BD371" s="526"/>
      <c r="BE371" s="526"/>
      <c r="BF371" s="526"/>
      <c r="BG371" s="526"/>
    </row>
    <row r="372" spans="1:59" s="830" customFormat="1" ht="17.25" customHeight="1" x14ac:dyDescent="0.25">
      <c r="A372" s="865"/>
      <c r="B372" s="865"/>
      <c r="C372" s="908"/>
      <c r="G372" s="865"/>
      <c r="H372" s="874"/>
      <c r="I372" s="869"/>
      <c r="J372" s="869"/>
      <c r="K372" s="869"/>
      <c r="L372" s="869"/>
      <c r="M372" s="874"/>
      <c r="O372" s="874"/>
      <c r="P372" s="874"/>
      <c r="Q372" s="874"/>
      <c r="R372" s="874"/>
      <c r="S372" s="874"/>
      <c r="T372" s="874"/>
      <c r="W372" s="874"/>
      <c r="X372" s="874"/>
      <c r="Y372" s="874"/>
      <c r="Z372" s="874"/>
      <c r="AA372" s="874"/>
      <c r="AD372" s="526"/>
      <c r="AE372" s="526"/>
      <c r="AF372" s="526"/>
      <c r="AG372" s="526"/>
      <c r="AH372" s="526"/>
      <c r="AI372" s="526"/>
      <c r="AJ372" s="526"/>
      <c r="AK372" s="526"/>
      <c r="AL372" s="526"/>
      <c r="AM372" s="526"/>
      <c r="AN372" s="526"/>
      <c r="AO372" s="526"/>
      <c r="AP372" s="526"/>
      <c r="AQ372" s="526"/>
      <c r="AR372" s="526"/>
      <c r="AS372" s="526"/>
      <c r="AT372" s="526"/>
      <c r="AU372" s="526"/>
      <c r="AV372" s="526"/>
      <c r="AW372" s="526"/>
      <c r="AX372" s="526"/>
      <c r="AY372" s="526"/>
      <c r="AZ372" s="526"/>
      <c r="BA372" s="526"/>
      <c r="BB372" s="526"/>
      <c r="BC372" s="526"/>
      <c r="BD372" s="526"/>
      <c r="BE372" s="526"/>
      <c r="BF372" s="526"/>
      <c r="BG372" s="526"/>
    </row>
    <row r="373" spans="1:59" s="830" customFormat="1" ht="17.25" customHeight="1" x14ac:dyDescent="0.25">
      <c r="A373" s="865"/>
      <c r="B373" s="865"/>
      <c r="C373" s="908"/>
      <c r="G373" s="865"/>
      <c r="H373" s="874"/>
      <c r="I373" s="869"/>
      <c r="J373" s="869"/>
      <c r="K373" s="869"/>
      <c r="L373" s="869"/>
      <c r="M373" s="874"/>
      <c r="O373" s="874"/>
      <c r="P373" s="874"/>
      <c r="Q373" s="874"/>
      <c r="R373" s="874"/>
      <c r="S373" s="874"/>
      <c r="T373" s="874"/>
      <c r="W373" s="874"/>
      <c r="X373" s="874"/>
      <c r="Y373" s="874"/>
      <c r="Z373" s="874"/>
      <c r="AA373" s="874"/>
      <c r="AD373" s="526"/>
      <c r="AE373" s="526"/>
      <c r="AF373" s="526"/>
      <c r="AG373" s="526"/>
      <c r="AH373" s="526"/>
      <c r="AI373" s="526"/>
      <c r="AJ373" s="526"/>
      <c r="AK373" s="526"/>
      <c r="AL373" s="526"/>
      <c r="AM373" s="526"/>
      <c r="AN373" s="526"/>
      <c r="AO373" s="526"/>
      <c r="AP373" s="526"/>
      <c r="AQ373" s="526"/>
      <c r="AR373" s="526"/>
      <c r="AS373" s="526"/>
      <c r="AT373" s="526"/>
      <c r="AU373" s="526"/>
      <c r="AV373" s="526"/>
      <c r="AW373" s="526"/>
      <c r="AX373" s="526"/>
      <c r="AY373" s="526"/>
      <c r="AZ373" s="526"/>
      <c r="BA373" s="526"/>
      <c r="BB373" s="526"/>
      <c r="BC373" s="526"/>
      <c r="BD373" s="526"/>
      <c r="BE373" s="526"/>
      <c r="BF373" s="526"/>
      <c r="BG373" s="526"/>
    </row>
    <row r="374" spans="1:59" s="830" customFormat="1" ht="17.25" customHeight="1" x14ac:dyDescent="0.25">
      <c r="A374" s="865"/>
      <c r="B374" s="865"/>
      <c r="C374" s="908"/>
      <c r="G374" s="865"/>
      <c r="H374" s="874"/>
      <c r="I374" s="869"/>
      <c r="J374" s="869"/>
      <c r="K374" s="869"/>
      <c r="L374" s="869"/>
      <c r="M374" s="874"/>
      <c r="O374" s="874"/>
      <c r="P374" s="874"/>
      <c r="Q374" s="874"/>
      <c r="R374" s="874"/>
      <c r="S374" s="874"/>
      <c r="T374" s="874"/>
      <c r="W374" s="874"/>
      <c r="X374" s="874"/>
      <c r="Y374" s="874"/>
      <c r="Z374" s="874"/>
      <c r="AA374" s="874"/>
      <c r="AD374" s="526"/>
      <c r="AE374" s="526"/>
      <c r="AF374" s="526"/>
      <c r="AG374" s="526"/>
      <c r="AH374" s="526"/>
      <c r="AI374" s="526"/>
      <c r="AJ374" s="526"/>
      <c r="AK374" s="526"/>
      <c r="AL374" s="526"/>
      <c r="AM374" s="526"/>
      <c r="AN374" s="526"/>
      <c r="AO374" s="526"/>
      <c r="AP374" s="526"/>
      <c r="AQ374" s="526"/>
      <c r="AR374" s="526"/>
      <c r="AS374" s="526"/>
      <c r="AT374" s="526"/>
      <c r="AU374" s="526"/>
      <c r="AV374" s="526"/>
      <c r="AW374" s="526"/>
      <c r="AX374" s="526"/>
      <c r="AY374" s="526"/>
      <c r="AZ374" s="526"/>
      <c r="BA374" s="526"/>
      <c r="BB374" s="526"/>
      <c r="BC374" s="526"/>
      <c r="BD374" s="526"/>
      <c r="BE374" s="526"/>
      <c r="BF374" s="526"/>
      <c r="BG374" s="526"/>
    </row>
    <row r="375" spans="1:59" s="830" customFormat="1" ht="17.25" customHeight="1" x14ac:dyDescent="0.25">
      <c r="A375" s="865"/>
      <c r="B375" s="865"/>
      <c r="C375" s="908"/>
      <c r="G375" s="865"/>
      <c r="H375" s="874"/>
      <c r="I375" s="869"/>
      <c r="J375" s="869"/>
      <c r="K375" s="869"/>
      <c r="L375" s="869"/>
      <c r="M375" s="874"/>
      <c r="O375" s="874"/>
      <c r="P375" s="874"/>
      <c r="Q375" s="874"/>
      <c r="R375" s="874"/>
      <c r="S375" s="874"/>
      <c r="T375" s="874"/>
      <c r="W375" s="874"/>
      <c r="X375" s="874"/>
      <c r="Y375" s="874"/>
      <c r="Z375" s="874"/>
      <c r="AA375" s="874"/>
      <c r="AD375" s="526"/>
      <c r="AE375" s="526"/>
      <c r="AF375" s="526"/>
      <c r="AG375" s="526"/>
      <c r="AH375" s="526"/>
      <c r="AI375" s="526"/>
      <c r="AJ375" s="526"/>
      <c r="AK375" s="526"/>
      <c r="AL375" s="526"/>
      <c r="AM375" s="526"/>
      <c r="AN375" s="526"/>
      <c r="AO375" s="526"/>
      <c r="AP375" s="526"/>
      <c r="AQ375" s="526"/>
      <c r="AR375" s="526"/>
      <c r="AS375" s="526"/>
      <c r="AT375" s="526"/>
      <c r="AU375" s="526"/>
      <c r="AV375" s="526"/>
      <c r="AW375" s="526"/>
      <c r="AX375" s="526"/>
      <c r="AY375" s="526"/>
      <c r="AZ375" s="526"/>
      <c r="BA375" s="526"/>
      <c r="BB375" s="526"/>
      <c r="BC375" s="526"/>
      <c r="BD375" s="526"/>
      <c r="BE375" s="526"/>
      <c r="BF375" s="526"/>
      <c r="BG375" s="526"/>
    </row>
    <row r="376" spans="1:59" s="830" customFormat="1" ht="17.25" customHeight="1" x14ac:dyDescent="0.25">
      <c r="A376" s="865"/>
      <c r="B376" s="865"/>
      <c r="C376" s="908"/>
      <c r="G376" s="865"/>
      <c r="H376" s="874"/>
      <c r="I376" s="869"/>
      <c r="J376" s="869"/>
      <c r="K376" s="869"/>
      <c r="L376" s="869"/>
      <c r="M376" s="874"/>
      <c r="O376" s="874"/>
      <c r="P376" s="874"/>
      <c r="Q376" s="874"/>
      <c r="R376" s="874"/>
      <c r="S376" s="874"/>
      <c r="T376" s="874"/>
      <c r="W376" s="874"/>
      <c r="X376" s="874"/>
      <c r="Y376" s="874"/>
      <c r="Z376" s="874"/>
      <c r="AA376" s="874"/>
      <c r="AD376" s="526"/>
      <c r="AE376" s="526"/>
      <c r="AF376" s="526"/>
      <c r="AG376" s="526"/>
      <c r="AH376" s="526"/>
      <c r="AI376" s="526"/>
      <c r="AJ376" s="526"/>
      <c r="AK376" s="526"/>
      <c r="AL376" s="526"/>
      <c r="AM376" s="526"/>
      <c r="AN376" s="526"/>
      <c r="AO376" s="526"/>
      <c r="AP376" s="526"/>
      <c r="AQ376" s="526"/>
      <c r="AR376" s="526"/>
      <c r="AS376" s="526"/>
      <c r="AT376" s="526"/>
      <c r="AU376" s="526"/>
      <c r="AV376" s="526"/>
      <c r="AW376" s="526"/>
      <c r="AX376" s="526"/>
      <c r="AY376" s="526"/>
      <c r="AZ376" s="526"/>
      <c r="BA376" s="526"/>
      <c r="BB376" s="526"/>
      <c r="BC376" s="526"/>
      <c r="BD376" s="526"/>
      <c r="BE376" s="526"/>
      <c r="BF376" s="526"/>
      <c r="BG376" s="526"/>
    </row>
    <row r="377" spans="1:59" s="830" customFormat="1" ht="17.25" customHeight="1" x14ac:dyDescent="0.25">
      <c r="A377" s="865"/>
      <c r="B377" s="865"/>
      <c r="C377" s="908"/>
      <c r="G377" s="865"/>
      <c r="H377" s="874"/>
      <c r="I377" s="869"/>
      <c r="J377" s="869"/>
      <c r="K377" s="869"/>
      <c r="L377" s="869"/>
      <c r="M377" s="874"/>
      <c r="O377" s="874"/>
      <c r="P377" s="874"/>
      <c r="Q377" s="874"/>
      <c r="R377" s="874"/>
      <c r="S377" s="874"/>
      <c r="T377" s="874"/>
      <c r="W377" s="874"/>
      <c r="X377" s="874"/>
      <c r="Y377" s="874"/>
      <c r="Z377" s="874"/>
      <c r="AA377" s="874"/>
      <c r="AD377" s="526"/>
      <c r="AE377" s="526"/>
      <c r="AF377" s="526"/>
      <c r="AG377" s="526"/>
      <c r="AH377" s="526"/>
      <c r="AI377" s="526"/>
      <c r="AJ377" s="526"/>
      <c r="AK377" s="526"/>
      <c r="AL377" s="526"/>
      <c r="AM377" s="526"/>
      <c r="AN377" s="526"/>
      <c r="AO377" s="526"/>
      <c r="AP377" s="526"/>
      <c r="AQ377" s="526"/>
      <c r="AR377" s="526"/>
      <c r="AS377" s="526"/>
      <c r="AT377" s="526"/>
      <c r="AU377" s="526"/>
      <c r="AV377" s="526"/>
      <c r="AW377" s="526"/>
      <c r="AX377" s="526"/>
      <c r="AY377" s="526"/>
      <c r="AZ377" s="526"/>
      <c r="BA377" s="526"/>
      <c r="BB377" s="526"/>
      <c r="BC377" s="526"/>
      <c r="BD377" s="526"/>
      <c r="BE377" s="526"/>
      <c r="BF377" s="526"/>
      <c r="BG377" s="526"/>
    </row>
    <row r="378" spans="1:59" s="830" customFormat="1" ht="17.25" customHeight="1" x14ac:dyDescent="0.25">
      <c r="A378" s="865"/>
      <c r="B378" s="865"/>
      <c r="C378" s="908"/>
      <c r="G378" s="865"/>
      <c r="H378" s="874"/>
      <c r="I378" s="869"/>
      <c r="J378" s="869"/>
      <c r="K378" s="869"/>
      <c r="L378" s="869"/>
      <c r="M378" s="874"/>
      <c r="O378" s="874"/>
      <c r="P378" s="874"/>
      <c r="Q378" s="874"/>
      <c r="R378" s="874"/>
      <c r="S378" s="874"/>
      <c r="T378" s="874"/>
      <c r="W378" s="874"/>
      <c r="X378" s="874"/>
      <c r="Y378" s="874"/>
      <c r="Z378" s="874"/>
      <c r="AA378" s="874"/>
      <c r="AD378" s="526"/>
      <c r="AE378" s="526"/>
      <c r="AF378" s="526"/>
      <c r="AG378" s="526"/>
      <c r="AH378" s="526"/>
      <c r="AI378" s="526"/>
      <c r="AJ378" s="526"/>
      <c r="AK378" s="526"/>
      <c r="AL378" s="526"/>
      <c r="AM378" s="526"/>
      <c r="AN378" s="526"/>
      <c r="AO378" s="526"/>
      <c r="AP378" s="526"/>
      <c r="AQ378" s="526"/>
      <c r="AR378" s="526"/>
      <c r="AS378" s="526"/>
      <c r="AT378" s="526"/>
      <c r="AU378" s="526"/>
      <c r="AV378" s="526"/>
      <c r="AW378" s="526"/>
      <c r="AX378" s="526"/>
      <c r="AY378" s="526"/>
      <c r="AZ378" s="526"/>
      <c r="BA378" s="526"/>
      <c r="BB378" s="526"/>
      <c r="BC378" s="526"/>
      <c r="BD378" s="526"/>
      <c r="BE378" s="526"/>
      <c r="BF378" s="526"/>
      <c r="BG378" s="526"/>
    </row>
    <row r="379" spans="1:59" s="830" customFormat="1" ht="17.25" customHeight="1" x14ac:dyDescent="0.25">
      <c r="A379" s="865"/>
      <c r="B379" s="865"/>
      <c r="C379" s="908"/>
      <c r="G379" s="865"/>
      <c r="H379" s="874"/>
      <c r="I379" s="869"/>
      <c r="J379" s="869"/>
      <c r="K379" s="869"/>
      <c r="L379" s="869"/>
      <c r="M379" s="874"/>
      <c r="O379" s="874"/>
      <c r="P379" s="874"/>
      <c r="Q379" s="874"/>
      <c r="R379" s="874"/>
      <c r="S379" s="874"/>
      <c r="T379" s="874"/>
      <c r="W379" s="874"/>
      <c r="X379" s="874"/>
      <c r="Y379" s="874"/>
      <c r="Z379" s="874"/>
      <c r="AA379" s="874"/>
      <c r="AD379" s="526"/>
      <c r="AE379" s="526"/>
      <c r="AF379" s="526"/>
      <c r="AG379" s="526"/>
      <c r="AH379" s="526"/>
      <c r="AI379" s="526"/>
      <c r="AJ379" s="526"/>
      <c r="AK379" s="526"/>
      <c r="AL379" s="526"/>
      <c r="AM379" s="526"/>
      <c r="AN379" s="526"/>
      <c r="AO379" s="526"/>
      <c r="AP379" s="526"/>
      <c r="AQ379" s="526"/>
      <c r="AR379" s="526"/>
      <c r="AS379" s="526"/>
      <c r="AT379" s="526"/>
      <c r="AU379" s="526"/>
      <c r="AV379" s="526"/>
      <c r="AW379" s="526"/>
      <c r="AX379" s="526"/>
      <c r="AY379" s="526"/>
      <c r="AZ379" s="526"/>
      <c r="BA379" s="526"/>
      <c r="BB379" s="526"/>
      <c r="BC379" s="526"/>
      <c r="BD379" s="526"/>
      <c r="BE379" s="526"/>
      <c r="BF379" s="526"/>
      <c r="BG379" s="526"/>
    </row>
    <row r="380" spans="1:59" s="830" customFormat="1" ht="17.25" customHeight="1" x14ac:dyDescent="0.25">
      <c r="A380" s="865"/>
      <c r="B380" s="865"/>
      <c r="C380" s="908"/>
      <c r="G380" s="865"/>
      <c r="H380" s="874"/>
      <c r="I380" s="869"/>
      <c r="J380" s="869"/>
      <c r="K380" s="869"/>
      <c r="L380" s="869"/>
      <c r="M380" s="874"/>
      <c r="O380" s="874"/>
      <c r="P380" s="874"/>
      <c r="Q380" s="874"/>
      <c r="R380" s="874"/>
      <c r="S380" s="874"/>
      <c r="T380" s="874"/>
      <c r="W380" s="874"/>
      <c r="X380" s="874"/>
      <c r="Y380" s="874"/>
      <c r="Z380" s="874"/>
      <c r="AA380" s="874"/>
      <c r="AD380" s="526"/>
      <c r="AE380" s="526"/>
      <c r="AF380" s="526"/>
      <c r="AG380" s="526"/>
      <c r="AH380" s="526"/>
      <c r="AI380" s="526"/>
      <c r="AJ380" s="526"/>
      <c r="AK380" s="526"/>
      <c r="AL380" s="526"/>
      <c r="AM380" s="526"/>
      <c r="AN380" s="526"/>
      <c r="AO380" s="526"/>
      <c r="AP380" s="526"/>
      <c r="AQ380" s="526"/>
      <c r="AR380" s="526"/>
      <c r="AS380" s="526"/>
      <c r="AT380" s="526"/>
      <c r="AU380" s="526"/>
      <c r="AV380" s="526"/>
      <c r="AW380" s="526"/>
      <c r="AX380" s="526"/>
      <c r="AY380" s="526"/>
      <c r="AZ380" s="526"/>
      <c r="BA380" s="526"/>
      <c r="BB380" s="526"/>
      <c r="BC380" s="526"/>
      <c r="BD380" s="526"/>
      <c r="BE380" s="526"/>
      <c r="BF380" s="526"/>
      <c r="BG380" s="526"/>
    </row>
    <row r="381" spans="1:59" s="830" customFormat="1" ht="17.25" customHeight="1" x14ac:dyDescent="0.25">
      <c r="A381" s="865"/>
      <c r="B381" s="865"/>
      <c r="C381" s="908"/>
      <c r="G381" s="865"/>
      <c r="H381" s="874"/>
      <c r="I381" s="869"/>
      <c r="J381" s="869"/>
      <c r="K381" s="869"/>
      <c r="L381" s="869"/>
      <c r="M381" s="874"/>
      <c r="O381" s="874"/>
      <c r="P381" s="874"/>
      <c r="Q381" s="874"/>
      <c r="R381" s="874"/>
      <c r="S381" s="874"/>
      <c r="T381" s="874"/>
      <c r="W381" s="874"/>
      <c r="X381" s="874"/>
      <c r="Y381" s="874"/>
      <c r="Z381" s="874"/>
      <c r="AA381" s="874"/>
      <c r="AD381" s="526"/>
      <c r="AE381" s="526"/>
      <c r="AF381" s="526"/>
      <c r="AG381" s="526"/>
      <c r="AH381" s="526"/>
      <c r="AI381" s="526"/>
      <c r="AJ381" s="526"/>
      <c r="AK381" s="526"/>
      <c r="AL381" s="526"/>
      <c r="AM381" s="526"/>
      <c r="AN381" s="526"/>
      <c r="AO381" s="526"/>
      <c r="AP381" s="526"/>
      <c r="AQ381" s="526"/>
      <c r="AR381" s="526"/>
      <c r="AS381" s="526"/>
      <c r="AT381" s="526"/>
      <c r="AU381" s="526"/>
      <c r="AV381" s="526"/>
      <c r="AW381" s="526"/>
      <c r="AX381" s="526"/>
      <c r="AY381" s="526"/>
      <c r="AZ381" s="526"/>
      <c r="BA381" s="526"/>
      <c r="BB381" s="526"/>
      <c r="BC381" s="526"/>
      <c r="BD381" s="526"/>
      <c r="BE381" s="526"/>
      <c r="BF381" s="526"/>
      <c r="BG381" s="526"/>
    </row>
    <row r="382" spans="1:59" s="830" customFormat="1" ht="17.25" customHeight="1" x14ac:dyDescent="0.25">
      <c r="A382" s="865"/>
      <c r="B382" s="865"/>
      <c r="C382" s="908"/>
      <c r="G382" s="865"/>
      <c r="H382" s="874"/>
      <c r="I382" s="869"/>
      <c r="J382" s="869"/>
      <c r="K382" s="869"/>
      <c r="L382" s="869"/>
      <c r="M382" s="874"/>
      <c r="O382" s="874"/>
      <c r="P382" s="874"/>
      <c r="Q382" s="874"/>
      <c r="R382" s="874"/>
      <c r="S382" s="874"/>
      <c r="T382" s="874"/>
      <c r="W382" s="874"/>
      <c r="X382" s="874"/>
      <c r="Y382" s="874"/>
      <c r="Z382" s="874"/>
      <c r="AA382" s="874"/>
      <c r="AD382" s="526"/>
      <c r="AE382" s="526"/>
      <c r="AF382" s="526"/>
      <c r="AG382" s="526"/>
      <c r="AH382" s="526"/>
      <c r="AI382" s="526"/>
      <c r="AJ382" s="526"/>
      <c r="AK382" s="526"/>
      <c r="AL382" s="526"/>
      <c r="AM382" s="526"/>
      <c r="AN382" s="526"/>
      <c r="AO382" s="526"/>
      <c r="AP382" s="526"/>
      <c r="AQ382" s="526"/>
      <c r="AR382" s="526"/>
      <c r="AS382" s="526"/>
      <c r="AT382" s="526"/>
      <c r="AU382" s="526"/>
      <c r="AV382" s="526"/>
      <c r="AW382" s="526"/>
      <c r="AX382" s="526"/>
      <c r="AY382" s="526"/>
      <c r="AZ382" s="526"/>
      <c r="BA382" s="526"/>
      <c r="BB382" s="526"/>
      <c r="BC382" s="526"/>
      <c r="BD382" s="526"/>
      <c r="BE382" s="526"/>
      <c r="BF382" s="526"/>
      <c r="BG382" s="526"/>
    </row>
    <row r="383" spans="1:59" s="830" customFormat="1" ht="17.25" customHeight="1" x14ac:dyDescent="0.25">
      <c r="A383" s="865"/>
      <c r="B383" s="865"/>
      <c r="C383" s="908"/>
      <c r="G383" s="865"/>
      <c r="H383" s="874"/>
      <c r="I383" s="869"/>
      <c r="J383" s="869"/>
      <c r="K383" s="869"/>
      <c r="L383" s="869"/>
      <c r="M383" s="874"/>
      <c r="O383" s="874"/>
      <c r="P383" s="874"/>
      <c r="Q383" s="874"/>
      <c r="R383" s="874"/>
      <c r="S383" s="874"/>
      <c r="T383" s="874"/>
      <c r="W383" s="874"/>
      <c r="X383" s="874"/>
      <c r="Y383" s="874"/>
      <c r="Z383" s="874"/>
      <c r="AA383" s="874"/>
      <c r="AD383" s="526"/>
      <c r="AE383" s="526"/>
      <c r="AF383" s="526"/>
      <c r="AG383" s="526"/>
      <c r="AH383" s="526"/>
      <c r="AI383" s="526"/>
      <c r="AJ383" s="526"/>
      <c r="AK383" s="526"/>
      <c r="AL383" s="526"/>
      <c r="AM383" s="526"/>
      <c r="AN383" s="526"/>
      <c r="AO383" s="526"/>
      <c r="AP383" s="526"/>
      <c r="AQ383" s="526"/>
      <c r="AR383" s="526"/>
      <c r="AS383" s="526"/>
      <c r="AT383" s="526"/>
      <c r="AU383" s="526"/>
      <c r="AV383" s="526"/>
      <c r="AW383" s="526"/>
      <c r="AX383" s="526"/>
      <c r="AY383" s="526"/>
      <c r="AZ383" s="526"/>
      <c r="BA383" s="526"/>
      <c r="BB383" s="526"/>
      <c r="BC383" s="526"/>
      <c r="BD383" s="526"/>
      <c r="BE383" s="526"/>
      <c r="BF383" s="526"/>
      <c r="BG383" s="526"/>
    </row>
    <row r="384" spans="1:59" s="830" customFormat="1" ht="17.25" customHeight="1" x14ac:dyDescent="0.25">
      <c r="A384" s="865"/>
      <c r="B384" s="865"/>
      <c r="C384" s="908"/>
      <c r="G384" s="865"/>
      <c r="H384" s="874"/>
      <c r="I384" s="869"/>
      <c r="J384" s="869"/>
      <c r="K384" s="869"/>
      <c r="L384" s="869"/>
      <c r="M384" s="874"/>
      <c r="O384" s="874"/>
      <c r="P384" s="874"/>
      <c r="Q384" s="874"/>
      <c r="R384" s="874"/>
      <c r="S384" s="874"/>
      <c r="T384" s="874"/>
      <c r="W384" s="874"/>
      <c r="X384" s="874"/>
      <c r="Y384" s="874"/>
      <c r="Z384" s="874"/>
      <c r="AA384" s="874"/>
      <c r="AD384" s="526"/>
      <c r="AE384" s="526"/>
      <c r="AF384" s="526"/>
      <c r="AG384" s="526"/>
      <c r="AH384" s="526"/>
      <c r="AI384" s="526"/>
      <c r="AJ384" s="526"/>
      <c r="AK384" s="526"/>
      <c r="AL384" s="526"/>
      <c r="AM384" s="526"/>
      <c r="AN384" s="526"/>
      <c r="AO384" s="526"/>
      <c r="AP384" s="526"/>
      <c r="AQ384" s="526"/>
      <c r="AR384" s="526"/>
      <c r="AS384" s="526"/>
      <c r="AT384" s="526"/>
      <c r="AU384" s="526"/>
      <c r="AV384" s="526"/>
      <c r="AW384" s="526"/>
      <c r="AX384" s="526"/>
      <c r="AY384" s="526"/>
      <c r="AZ384" s="526"/>
      <c r="BA384" s="526"/>
      <c r="BB384" s="526"/>
      <c r="BC384" s="526"/>
      <c r="BD384" s="526"/>
      <c r="BE384" s="526"/>
      <c r="BF384" s="526"/>
      <c r="BG384" s="526"/>
    </row>
    <row r="385" spans="1:59" s="830" customFormat="1" ht="17.25" customHeight="1" x14ac:dyDescent="0.25">
      <c r="A385" s="865"/>
      <c r="B385" s="865"/>
      <c r="C385" s="908"/>
      <c r="G385" s="865"/>
      <c r="H385" s="874"/>
      <c r="I385" s="869"/>
      <c r="J385" s="869"/>
      <c r="K385" s="869"/>
      <c r="L385" s="869"/>
      <c r="M385" s="874"/>
      <c r="O385" s="874"/>
      <c r="P385" s="874"/>
      <c r="Q385" s="874"/>
      <c r="R385" s="874"/>
      <c r="S385" s="874"/>
      <c r="T385" s="874"/>
      <c r="W385" s="874"/>
      <c r="X385" s="874"/>
      <c r="Y385" s="874"/>
      <c r="Z385" s="874"/>
      <c r="AA385" s="874"/>
      <c r="AD385" s="526"/>
      <c r="AE385" s="526"/>
      <c r="AF385" s="526"/>
      <c r="AG385" s="526"/>
      <c r="AH385" s="526"/>
      <c r="AI385" s="526"/>
      <c r="AJ385" s="526"/>
      <c r="AK385" s="526"/>
      <c r="AL385" s="526"/>
      <c r="AM385" s="526"/>
      <c r="AN385" s="526"/>
      <c r="AO385" s="526"/>
      <c r="AP385" s="526"/>
      <c r="AQ385" s="526"/>
      <c r="AR385" s="526"/>
      <c r="AS385" s="526"/>
      <c r="AT385" s="526"/>
      <c r="AU385" s="526"/>
      <c r="AV385" s="526"/>
      <c r="AW385" s="526"/>
      <c r="AX385" s="526"/>
      <c r="AY385" s="526"/>
      <c r="AZ385" s="526"/>
      <c r="BA385" s="526"/>
      <c r="BB385" s="526"/>
      <c r="BC385" s="526"/>
      <c r="BD385" s="526"/>
      <c r="BE385" s="526"/>
      <c r="BF385" s="526"/>
      <c r="BG385" s="526"/>
    </row>
    <row r="386" spans="1:59" s="830" customFormat="1" ht="17.25" customHeight="1" x14ac:dyDescent="0.25">
      <c r="A386" s="865"/>
      <c r="B386" s="865"/>
      <c r="C386" s="908"/>
      <c r="G386" s="865"/>
      <c r="H386" s="874"/>
      <c r="I386" s="869"/>
      <c r="J386" s="869"/>
      <c r="K386" s="869"/>
      <c r="L386" s="869"/>
      <c r="M386" s="874"/>
      <c r="O386" s="874"/>
      <c r="P386" s="874"/>
      <c r="Q386" s="874"/>
      <c r="R386" s="874"/>
      <c r="S386" s="874"/>
      <c r="T386" s="874"/>
      <c r="W386" s="874"/>
      <c r="X386" s="874"/>
      <c r="Y386" s="874"/>
      <c r="Z386" s="874"/>
      <c r="AA386" s="874"/>
      <c r="AD386" s="526"/>
      <c r="AE386" s="526"/>
      <c r="AF386" s="526"/>
      <c r="AG386" s="526"/>
      <c r="AH386" s="526"/>
      <c r="AI386" s="526"/>
      <c r="AJ386" s="526"/>
      <c r="AK386" s="526"/>
      <c r="AL386" s="526"/>
      <c r="AM386" s="526"/>
      <c r="AN386" s="526"/>
      <c r="AO386" s="526"/>
      <c r="AP386" s="526"/>
      <c r="AQ386" s="526"/>
      <c r="AR386" s="526"/>
      <c r="AS386" s="526"/>
      <c r="AT386" s="526"/>
      <c r="AU386" s="526"/>
      <c r="AV386" s="526"/>
      <c r="AW386" s="526"/>
      <c r="AX386" s="526"/>
      <c r="AY386" s="526"/>
      <c r="AZ386" s="526"/>
      <c r="BA386" s="526"/>
      <c r="BB386" s="526"/>
      <c r="BC386" s="526"/>
      <c r="BD386" s="526"/>
      <c r="BE386" s="526"/>
      <c r="BF386" s="526"/>
      <c r="BG386" s="526"/>
    </row>
    <row r="387" spans="1:59" s="830" customFormat="1" ht="17.25" customHeight="1" x14ac:dyDescent="0.25">
      <c r="A387" s="865"/>
      <c r="B387" s="865"/>
      <c r="C387" s="908"/>
      <c r="G387" s="865"/>
      <c r="H387" s="874"/>
      <c r="I387" s="869"/>
      <c r="J387" s="869"/>
      <c r="K387" s="869"/>
      <c r="L387" s="869"/>
      <c r="M387" s="874"/>
      <c r="O387" s="874"/>
      <c r="P387" s="874"/>
      <c r="Q387" s="874"/>
      <c r="R387" s="874"/>
      <c r="S387" s="874"/>
      <c r="T387" s="874"/>
      <c r="W387" s="874"/>
      <c r="X387" s="874"/>
      <c r="Y387" s="874"/>
      <c r="Z387" s="874"/>
      <c r="AA387" s="874"/>
      <c r="AD387" s="526"/>
      <c r="AE387" s="526"/>
      <c r="AF387" s="526"/>
      <c r="AG387" s="526"/>
      <c r="AH387" s="526"/>
      <c r="AI387" s="526"/>
      <c r="AJ387" s="526"/>
      <c r="AK387" s="526"/>
      <c r="AL387" s="526"/>
      <c r="AM387" s="526"/>
      <c r="AN387" s="526"/>
      <c r="AO387" s="526"/>
      <c r="AP387" s="526"/>
      <c r="AQ387" s="526"/>
      <c r="AR387" s="526"/>
      <c r="AS387" s="526"/>
      <c r="AT387" s="526"/>
      <c r="AU387" s="526"/>
      <c r="AV387" s="526"/>
      <c r="AW387" s="526"/>
      <c r="AX387" s="526"/>
      <c r="AY387" s="526"/>
      <c r="AZ387" s="526"/>
      <c r="BA387" s="526"/>
      <c r="BB387" s="526"/>
      <c r="BC387" s="526"/>
      <c r="BD387" s="526"/>
      <c r="BE387" s="526"/>
      <c r="BF387" s="526"/>
      <c r="BG387" s="526"/>
    </row>
    <row r="388" spans="1:59" s="830" customFormat="1" ht="17.25" customHeight="1" x14ac:dyDescent="0.25">
      <c r="A388" s="865"/>
      <c r="B388" s="865"/>
      <c r="C388" s="908"/>
      <c r="G388" s="865"/>
      <c r="H388" s="874"/>
      <c r="I388" s="869"/>
      <c r="J388" s="869"/>
      <c r="K388" s="869"/>
      <c r="L388" s="869"/>
      <c r="M388" s="874"/>
      <c r="O388" s="874"/>
      <c r="P388" s="874"/>
      <c r="Q388" s="874"/>
      <c r="R388" s="874"/>
      <c r="S388" s="874"/>
      <c r="T388" s="874"/>
      <c r="W388" s="874"/>
      <c r="X388" s="874"/>
      <c r="Y388" s="874"/>
      <c r="Z388" s="874"/>
      <c r="AA388" s="874"/>
      <c r="AD388" s="526"/>
      <c r="AE388" s="526"/>
      <c r="AF388" s="526"/>
      <c r="AG388" s="526"/>
      <c r="AH388" s="526"/>
      <c r="AI388" s="526"/>
      <c r="AJ388" s="526"/>
      <c r="AK388" s="526"/>
      <c r="AL388" s="526"/>
      <c r="AM388" s="526"/>
      <c r="AN388" s="526"/>
      <c r="AO388" s="526"/>
      <c r="AP388" s="526"/>
      <c r="AQ388" s="526"/>
      <c r="AR388" s="526"/>
      <c r="AS388" s="526"/>
      <c r="AT388" s="526"/>
      <c r="AU388" s="526"/>
      <c r="AV388" s="526"/>
      <c r="AW388" s="526"/>
      <c r="AX388" s="526"/>
      <c r="AY388" s="526"/>
      <c r="AZ388" s="526"/>
      <c r="BA388" s="526"/>
      <c r="BB388" s="526"/>
      <c r="BC388" s="526"/>
      <c r="BD388" s="526"/>
      <c r="BE388" s="526"/>
      <c r="BF388" s="526"/>
      <c r="BG388" s="526"/>
    </row>
    <row r="389" spans="1:59" s="830" customFormat="1" ht="17.25" customHeight="1" x14ac:dyDescent="0.25">
      <c r="A389" s="865"/>
      <c r="B389" s="865"/>
      <c r="C389" s="908"/>
      <c r="G389" s="865"/>
      <c r="H389" s="874"/>
      <c r="I389" s="869"/>
      <c r="J389" s="869"/>
      <c r="K389" s="869"/>
      <c r="L389" s="869"/>
      <c r="M389" s="874"/>
      <c r="O389" s="874"/>
      <c r="P389" s="874"/>
      <c r="Q389" s="874"/>
      <c r="R389" s="874"/>
      <c r="S389" s="874"/>
      <c r="T389" s="874"/>
      <c r="W389" s="874"/>
      <c r="X389" s="874"/>
      <c r="Y389" s="874"/>
      <c r="Z389" s="874"/>
      <c r="AA389" s="874"/>
      <c r="AD389" s="526"/>
      <c r="AE389" s="526"/>
      <c r="AF389" s="526"/>
      <c r="AG389" s="526"/>
      <c r="AH389" s="526"/>
      <c r="AI389" s="526"/>
      <c r="AJ389" s="526"/>
      <c r="AK389" s="526"/>
      <c r="AL389" s="526"/>
      <c r="AM389" s="526"/>
      <c r="AN389" s="526"/>
      <c r="AO389" s="526"/>
      <c r="AP389" s="526"/>
      <c r="AQ389" s="526"/>
      <c r="AR389" s="526"/>
      <c r="AS389" s="526"/>
      <c r="AT389" s="526"/>
      <c r="AU389" s="526"/>
      <c r="AV389" s="526"/>
      <c r="AW389" s="526"/>
      <c r="AX389" s="526"/>
      <c r="AY389" s="526"/>
      <c r="AZ389" s="526"/>
      <c r="BA389" s="526"/>
      <c r="BB389" s="526"/>
      <c r="BC389" s="526"/>
      <c r="BD389" s="526"/>
      <c r="BE389" s="526"/>
      <c r="BF389" s="526"/>
      <c r="BG389" s="526"/>
    </row>
    <row r="390" spans="1:59" s="830" customFormat="1" ht="17.25" customHeight="1" x14ac:dyDescent="0.25">
      <c r="A390" s="865"/>
      <c r="B390" s="865"/>
      <c r="C390" s="908"/>
      <c r="G390" s="865"/>
      <c r="H390" s="874"/>
      <c r="I390" s="869"/>
      <c r="J390" s="869"/>
      <c r="K390" s="869"/>
      <c r="L390" s="869"/>
      <c r="M390" s="874"/>
      <c r="O390" s="874"/>
      <c r="P390" s="874"/>
      <c r="Q390" s="874"/>
      <c r="R390" s="874"/>
      <c r="S390" s="874"/>
      <c r="T390" s="874"/>
      <c r="W390" s="874"/>
      <c r="X390" s="874"/>
      <c r="Y390" s="874"/>
      <c r="Z390" s="874"/>
      <c r="AA390" s="874"/>
      <c r="AD390" s="526"/>
      <c r="AE390" s="526"/>
      <c r="AF390" s="526"/>
      <c r="AG390" s="526"/>
      <c r="AH390" s="526"/>
      <c r="AI390" s="526"/>
      <c r="AJ390" s="526"/>
      <c r="AK390" s="526"/>
      <c r="AL390" s="526"/>
      <c r="AM390" s="526"/>
      <c r="AN390" s="526"/>
      <c r="AO390" s="526"/>
      <c r="AP390" s="526"/>
      <c r="AQ390" s="526"/>
      <c r="AR390" s="526"/>
      <c r="AS390" s="526"/>
      <c r="AT390" s="526"/>
      <c r="AU390" s="526"/>
      <c r="AV390" s="526"/>
      <c r="AW390" s="526"/>
      <c r="AX390" s="526"/>
      <c r="AY390" s="526"/>
      <c r="AZ390" s="526"/>
      <c r="BA390" s="526"/>
      <c r="BB390" s="526"/>
      <c r="BC390" s="526"/>
      <c r="BD390" s="526"/>
      <c r="BE390" s="526"/>
      <c r="BF390" s="526"/>
      <c r="BG390" s="526"/>
    </row>
    <row r="391" spans="1:59" s="830" customFormat="1" ht="17.25" customHeight="1" x14ac:dyDescent="0.25">
      <c r="A391" s="865"/>
      <c r="B391" s="865"/>
      <c r="C391" s="908"/>
      <c r="G391" s="865"/>
      <c r="H391" s="874"/>
      <c r="I391" s="869"/>
      <c r="J391" s="869"/>
      <c r="K391" s="869"/>
      <c r="L391" s="869"/>
      <c r="M391" s="874"/>
      <c r="O391" s="874"/>
      <c r="P391" s="874"/>
      <c r="Q391" s="874"/>
      <c r="R391" s="874"/>
      <c r="S391" s="874"/>
      <c r="T391" s="874"/>
      <c r="W391" s="874"/>
      <c r="X391" s="874"/>
      <c r="Y391" s="874"/>
      <c r="Z391" s="874"/>
      <c r="AA391" s="874"/>
      <c r="AD391" s="526"/>
      <c r="AE391" s="526"/>
      <c r="AF391" s="526"/>
      <c r="AG391" s="526"/>
      <c r="AH391" s="526"/>
      <c r="AI391" s="526"/>
      <c r="AJ391" s="526"/>
      <c r="AK391" s="526"/>
      <c r="AL391" s="526"/>
      <c r="AM391" s="526"/>
      <c r="AN391" s="526"/>
      <c r="AO391" s="526"/>
      <c r="AP391" s="526"/>
      <c r="AQ391" s="526"/>
      <c r="AR391" s="526"/>
      <c r="AS391" s="526"/>
      <c r="AT391" s="526"/>
      <c r="AU391" s="526"/>
      <c r="AV391" s="526"/>
      <c r="AW391" s="526"/>
      <c r="AX391" s="526"/>
      <c r="AY391" s="526"/>
      <c r="AZ391" s="526"/>
      <c r="BA391" s="526"/>
      <c r="BB391" s="526"/>
      <c r="BC391" s="526"/>
      <c r="BD391" s="526"/>
      <c r="BE391" s="526"/>
      <c r="BF391" s="526"/>
      <c r="BG391" s="526"/>
    </row>
    <row r="392" spans="1:59" s="830" customFormat="1" ht="17.25" customHeight="1" x14ac:dyDescent="0.25">
      <c r="A392" s="865"/>
      <c r="B392" s="865"/>
      <c r="C392" s="908"/>
      <c r="G392" s="865"/>
      <c r="H392" s="874"/>
      <c r="I392" s="869"/>
      <c r="J392" s="869"/>
      <c r="K392" s="869"/>
      <c r="L392" s="869"/>
      <c r="M392" s="874"/>
      <c r="O392" s="874"/>
      <c r="P392" s="874"/>
      <c r="Q392" s="874"/>
      <c r="R392" s="874"/>
      <c r="S392" s="874"/>
      <c r="T392" s="874"/>
      <c r="W392" s="874"/>
      <c r="X392" s="874"/>
      <c r="Y392" s="874"/>
      <c r="Z392" s="874"/>
      <c r="AA392" s="874"/>
      <c r="AD392" s="526"/>
      <c r="AE392" s="526"/>
      <c r="AF392" s="526"/>
      <c r="AG392" s="526"/>
      <c r="AH392" s="526"/>
      <c r="AI392" s="526"/>
      <c r="AJ392" s="526"/>
      <c r="AK392" s="526"/>
      <c r="AL392" s="526"/>
      <c r="AM392" s="526"/>
      <c r="AN392" s="526"/>
      <c r="AO392" s="526"/>
      <c r="AP392" s="526"/>
      <c r="AQ392" s="526"/>
      <c r="AR392" s="526"/>
      <c r="AS392" s="526"/>
      <c r="AT392" s="526"/>
      <c r="AU392" s="526"/>
      <c r="AV392" s="526"/>
      <c r="AW392" s="526"/>
      <c r="AX392" s="526"/>
      <c r="AY392" s="526"/>
      <c r="AZ392" s="526"/>
      <c r="BA392" s="526"/>
      <c r="BB392" s="526"/>
      <c r="BC392" s="526"/>
      <c r="BD392" s="526"/>
      <c r="BE392" s="526"/>
      <c r="BF392" s="526"/>
      <c r="BG392" s="526"/>
    </row>
    <row r="393" spans="1:59" s="830" customFormat="1" ht="17.25" customHeight="1" x14ac:dyDescent="0.25">
      <c r="A393" s="865"/>
      <c r="B393" s="865"/>
      <c r="C393" s="908"/>
      <c r="G393" s="865"/>
      <c r="H393" s="874"/>
      <c r="I393" s="869"/>
      <c r="J393" s="869"/>
      <c r="K393" s="869"/>
      <c r="L393" s="869"/>
      <c r="M393" s="874"/>
      <c r="O393" s="874"/>
      <c r="P393" s="874"/>
      <c r="Q393" s="874"/>
      <c r="R393" s="874"/>
      <c r="S393" s="874"/>
      <c r="T393" s="874"/>
      <c r="W393" s="874"/>
      <c r="X393" s="874"/>
      <c r="Y393" s="874"/>
      <c r="Z393" s="874"/>
      <c r="AA393" s="874"/>
      <c r="AD393" s="526"/>
      <c r="AE393" s="526"/>
      <c r="AF393" s="526"/>
      <c r="AG393" s="526"/>
      <c r="AH393" s="526"/>
      <c r="AI393" s="526"/>
      <c r="AJ393" s="526"/>
      <c r="AK393" s="526"/>
      <c r="AL393" s="526"/>
      <c r="AM393" s="526"/>
      <c r="AN393" s="526"/>
      <c r="AO393" s="526"/>
      <c r="AP393" s="526"/>
      <c r="AQ393" s="526"/>
      <c r="AR393" s="526"/>
      <c r="AS393" s="526"/>
      <c r="AT393" s="526"/>
      <c r="AU393" s="526"/>
      <c r="AV393" s="526"/>
      <c r="AW393" s="526"/>
      <c r="AX393" s="526"/>
      <c r="AY393" s="526"/>
      <c r="AZ393" s="526"/>
      <c r="BA393" s="526"/>
      <c r="BB393" s="526"/>
      <c r="BC393" s="526"/>
      <c r="BD393" s="526"/>
      <c r="BE393" s="526"/>
      <c r="BF393" s="526"/>
      <c r="BG393" s="526"/>
    </row>
    <row r="394" spans="1:59" s="830" customFormat="1" ht="17.25" customHeight="1" x14ac:dyDescent="0.25">
      <c r="A394" s="865"/>
      <c r="B394" s="865"/>
      <c r="C394" s="908"/>
      <c r="G394" s="865"/>
      <c r="H394" s="874"/>
      <c r="I394" s="869"/>
      <c r="J394" s="869"/>
      <c r="K394" s="869"/>
      <c r="L394" s="869"/>
      <c r="M394" s="874"/>
      <c r="O394" s="874"/>
      <c r="P394" s="874"/>
      <c r="Q394" s="874"/>
      <c r="R394" s="874"/>
      <c r="S394" s="874"/>
      <c r="T394" s="874"/>
      <c r="W394" s="874"/>
      <c r="X394" s="874"/>
      <c r="Y394" s="874"/>
      <c r="Z394" s="874"/>
      <c r="AA394" s="874"/>
      <c r="AD394" s="526"/>
      <c r="AE394" s="526"/>
      <c r="AF394" s="526"/>
      <c r="AG394" s="526"/>
      <c r="AH394" s="526"/>
      <c r="AI394" s="526"/>
      <c r="AJ394" s="526"/>
      <c r="AK394" s="526"/>
      <c r="AL394" s="526"/>
      <c r="AM394" s="526"/>
      <c r="AN394" s="526"/>
      <c r="AO394" s="526"/>
      <c r="AP394" s="526"/>
      <c r="AQ394" s="526"/>
      <c r="AR394" s="526"/>
      <c r="AS394" s="526"/>
      <c r="AT394" s="526"/>
      <c r="AU394" s="526"/>
      <c r="AV394" s="526"/>
      <c r="AW394" s="526"/>
      <c r="AX394" s="526"/>
      <c r="AY394" s="526"/>
      <c r="AZ394" s="526"/>
      <c r="BA394" s="526"/>
      <c r="BB394" s="526"/>
      <c r="BC394" s="526"/>
      <c r="BD394" s="526"/>
      <c r="BE394" s="526"/>
      <c r="BF394" s="526"/>
      <c r="BG394" s="526"/>
    </row>
    <row r="395" spans="1:59" s="830" customFormat="1" ht="17.25" customHeight="1" x14ac:dyDescent="0.25">
      <c r="A395" s="865"/>
      <c r="B395" s="865"/>
      <c r="C395" s="908"/>
      <c r="G395" s="865"/>
      <c r="H395" s="874"/>
      <c r="I395" s="869"/>
      <c r="J395" s="869"/>
      <c r="K395" s="869"/>
      <c r="L395" s="869"/>
      <c r="M395" s="874"/>
      <c r="O395" s="874"/>
      <c r="P395" s="874"/>
      <c r="Q395" s="874"/>
      <c r="R395" s="874"/>
      <c r="S395" s="874"/>
      <c r="T395" s="874"/>
      <c r="W395" s="874"/>
      <c r="X395" s="874"/>
      <c r="Y395" s="874"/>
      <c r="Z395" s="874"/>
      <c r="AA395" s="874"/>
      <c r="AD395" s="526"/>
      <c r="AE395" s="526"/>
      <c r="AF395" s="526"/>
      <c r="AG395" s="526"/>
      <c r="AH395" s="526"/>
      <c r="AI395" s="526"/>
      <c r="AJ395" s="526"/>
      <c r="AK395" s="526"/>
      <c r="AL395" s="526"/>
      <c r="AM395" s="526"/>
      <c r="AN395" s="526"/>
      <c r="AO395" s="526"/>
      <c r="AP395" s="526"/>
      <c r="AQ395" s="526"/>
      <c r="AR395" s="526"/>
      <c r="AS395" s="526"/>
      <c r="AT395" s="526"/>
      <c r="AU395" s="526"/>
      <c r="AV395" s="526"/>
      <c r="AW395" s="526"/>
      <c r="AX395" s="526"/>
      <c r="AY395" s="526"/>
      <c r="AZ395" s="526"/>
      <c r="BA395" s="526"/>
      <c r="BB395" s="526"/>
      <c r="BC395" s="526"/>
      <c r="BD395" s="526"/>
      <c r="BE395" s="526"/>
      <c r="BF395" s="526"/>
      <c r="BG395" s="526"/>
    </row>
    <row r="396" spans="1:59" s="830" customFormat="1" ht="17.25" customHeight="1" x14ac:dyDescent="0.25">
      <c r="A396" s="865"/>
      <c r="B396" s="865"/>
      <c r="C396" s="908"/>
      <c r="G396" s="865"/>
      <c r="H396" s="874"/>
      <c r="I396" s="869"/>
      <c r="J396" s="869"/>
      <c r="K396" s="869"/>
      <c r="L396" s="869"/>
      <c r="M396" s="874"/>
      <c r="O396" s="874"/>
      <c r="P396" s="874"/>
      <c r="Q396" s="874"/>
      <c r="R396" s="874"/>
      <c r="S396" s="874"/>
      <c r="T396" s="874"/>
      <c r="W396" s="874"/>
      <c r="X396" s="874"/>
      <c r="Y396" s="874"/>
      <c r="Z396" s="874"/>
      <c r="AA396" s="874"/>
      <c r="AD396" s="526"/>
      <c r="AE396" s="526"/>
      <c r="AF396" s="526"/>
      <c r="AG396" s="526"/>
      <c r="AH396" s="526"/>
      <c r="AI396" s="526"/>
      <c r="AJ396" s="526"/>
      <c r="AK396" s="526"/>
      <c r="AL396" s="526"/>
      <c r="AM396" s="526"/>
      <c r="AN396" s="526"/>
      <c r="AO396" s="526"/>
      <c r="AP396" s="526"/>
      <c r="AQ396" s="526"/>
      <c r="AR396" s="526"/>
      <c r="AS396" s="526"/>
      <c r="AT396" s="526"/>
      <c r="AU396" s="526"/>
      <c r="AV396" s="526"/>
      <c r="AW396" s="526"/>
      <c r="AX396" s="526"/>
      <c r="AY396" s="526"/>
      <c r="AZ396" s="526"/>
      <c r="BA396" s="526"/>
      <c r="BB396" s="526"/>
      <c r="BC396" s="526"/>
      <c r="BD396" s="526"/>
      <c r="BE396" s="526"/>
      <c r="BF396" s="526"/>
      <c r="BG396" s="526"/>
    </row>
    <row r="397" spans="1:59" s="830" customFormat="1" ht="17.25" customHeight="1" x14ac:dyDescent="0.25">
      <c r="A397" s="865"/>
      <c r="B397" s="865"/>
      <c r="C397" s="908"/>
      <c r="G397" s="865"/>
      <c r="H397" s="874"/>
      <c r="I397" s="869"/>
      <c r="J397" s="869"/>
      <c r="K397" s="869"/>
      <c r="L397" s="869"/>
      <c r="M397" s="874"/>
      <c r="O397" s="874"/>
      <c r="P397" s="874"/>
      <c r="Q397" s="874"/>
      <c r="R397" s="874"/>
      <c r="S397" s="874"/>
      <c r="T397" s="874"/>
      <c r="W397" s="874"/>
      <c r="X397" s="874"/>
      <c r="Y397" s="874"/>
      <c r="Z397" s="874"/>
      <c r="AA397" s="874"/>
      <c r="AD397" s="526"/>
      <c r="AE397" s="526"/>
      <c r="AF397" s="526"/>
      <c r="AG397" s="526"/>
      <c r="AH397" s="526"/>
      <c r="AI397" s="526"/>
      <c r="AJ397" s="526"/>
      <c r="AK397" s="526"/>
      <c r="AL397" s="526"/>
      <c r="AM397" s="526"/>
      <c r="AN397" s="526"/>
      <c r="AO397" s="526"/>
      <c r="AP397" s="526"/>
      <c r="AQ397" s="526"/>
      <c r="AR397" s="526"/>
      <c r="AS397" s="526"/>
      <c r="AT397" s="526"/>
      <c r="AU397" s="526"/>
      <c r="AV397" s="526"/>
      <c r="AW397" s="526"/>
      <c r="AX397" s="526"/>
      <c r="AY397" s="526"/>
      <c r="AZ397" s="526"/>
      <c r="BA397" s="526"/>
      <c r="BB397" s="526"/>
      <c r="BC397" s="526"/>
      <c r="BD397" s="526"/>
      <c r="BE397" s="526"/>
      <c r="BF397" s="526"/>
      <c r="BG397" s="526"/>
    </row>
    <row r="398" spans="1:59" s="830" customFormat="1" ht="17.25" customHeight="1" x14ac:dyDescent="0.25">
      <c r="A398" s="865"/>
      <c r="B398" s="865"/>
      <c r="C398" s="908"/>
      <c r="G398" s="865"/>
      <c r="H398" s="874"/>
      <c r="I398" s="869"/>
      <c r="J398" s="869"/>
      <c r="K398" s="869"/>
      <c r="L398" s="869"/>
      <c r="M398" s="874"/>
      <c r="O398" s="874"/>
      <c r="P398" s="874"/>
      <c r="Q398" s="874"/>
      <c r="R398" s="874"/>
      <c r="S398" s="874"/>
      <c r="T398" s="874"/>
      <c r="W398" s="874"/>
      <c r="X398" s="874"/>
      <c r="Y398" s="874"/>
      <c r="Z398" s="874"/>
      <c r="AA398" s="874"/>
      <c r="AD398" s="526"/>
      <c r="AE398" s="526"/>
      <c r="AF398" s="526"/>
      <c r="AG398" s="526"/>
      <c r="AH398" s="526"/>
      <c r="AI398" s="526"/>
      <c r="AJ398" s="526"/>
      <c r="AK398" s="526"/>
      <c r="AL398" s="526"/>
      <c r="AM398" s="526"/>
      <c r="AN398" s="526"/>
      <c r="AO398" s="526"/>
      <c r="AP398" s="526"/>
      <c r="AQ398" s="526"/>
      <c r="AR398" s="526"/>
      <c r="AS398" s="526"/>
      <c r="AT398" s="526"/>
      <c r="AU398" s="526"/>
      <c r="AV398" s="526"/>
      <c r="AW398" s="526"/>
      <c r="AX398" s="526"/>
      <c r="AY398" s="526"/>
      <c r="AZ398" s="526"/>
      <c r="BA398" s="526"/>
      <c r="BB398" s="526"/>
      <c r="BC398" s="526"/>
      <c r="BD398" s="526"/>
      <c r="BE398" s="526"/>
      <c r="BF398" s="526"/>
      <c r="BG398" s="526"/>
    </row>
    <row r="399" spans="1:59" s="830" customFormat="1" ht="17.25" customHeight="1" x14ac:dyDescent="0.25">
      <c r="A399" s="865"/>
      <c r="B399" s="865"/>
      <c r="C399" s="908"/>
      <c r="G399" s="865"/>
      <c r="H399" s="874"/>
      <c r="I399" s="869"/>
      <c r="J399" s="869"/>
      <c r="K399" s="869"/>
      <c r="L399" s="869"/>
      <c r="M399" s="874"/>
      <c r="O399" s="874"/>
      <c r="P399" s="874"/>
      <c r="Q399" s="874"/>
      <c r="R399" s="874"/>
      <c r="S399" s="874"/>
      <c r="T399" s="874"/>
      <c r="W399" s="874"/>
      <c r="X399" s="874"/>
      <c r="Y399" s="874"/>
      <c r="Z399" s="874"/>
      <c r="AA399" s="874"/>
      <c r="AD399" s="526"/>
      <c r="AE399" s="526"/>
      <c r="AF399" s="526"/>
      <c r="AG399" s="526"/>
      <c r="AH399" s="526"/>
      <c r="AI399" s="526"/>
      <c r="AJ399" s="526"/>
      <c r="AK399" s="526"/>
      <c r="AL399" s="526"/>
      <c r="AM399" s="526"/>
      <c r="AN399" s="526"/>
      <c r="AO399" s="526"/>
      <c r="AP399" s="526"/>
      <c r="AQ399" s="526"/>
      <c r="AR399" s="526"/>
      <c r="AS399" s="526"/>
      <c r="AT399" s="526"/>
      <c r="AU399" s="526"/>
      <c r="AV399" s="526"/>
      <c r="AW399" s="526"/>
      <c r="AX399" s="526"/>
      <c r="AY399" s="526"/>
      <c r="AZ399" s="526"/>
      <c r="BA399" s="526"/>
      <c r="BB399" s="526"/>
      <c r="BC399" s="526"/>
      <c r="BD399" s="526"/>
      <c r="BE399" s="526"/>
      <c r="BF399" s="526"/>
      <c r="BG399" s="526"/>
    </row>
    <row r="400" spans="1:59" s="830" customFormat="1" ht="17.25" customHeight="1" x14ac:dyDescent="0.25">
      <c r="A400" s="865"/>
      <c r="B400" s="865"/>
      <c r="C400" s="908"/>
      <c r="G400" s="865"/>
      <c r="H400" s="874"/>
      <c r="I400" s="869"/>
      <c r="J400" s="869"/>
      <c r="K400" s="869"/>
      <c r="L400" s="869"/>
      <c r="M400" s="874"/>
      <c r="O400" s="874"/>
      <c r="P400" s="874"/>
      <c r="Q400" s="874"/>
      <c r="R400" s="874"/>
      <c r="S400" s="874"/>
      <c r="T400" s="874"/>
      <c r="W400" s="874"/>
      <c r="X400" s="874"/>
      <c r="Y400" s="874"/>
      <c r="Z400" s="874"/>
      <c r="AA400" s="874"/>
      <c r="AD400" s="526"/>
      <c r="AE400" s="526"/>
      <c r="AF400" s="526"/>
      <c r="AG400" s="526"/>
      <c r="AH400" s="526"/>
      <c r="AI400" s="526"/>
      <c r="AJ400" s="526"/>
      <c r="AK400" s="526"/>
      <c r="AL400" s="526"/>
      <c r="AM400" s="526"/>
      <c r="AN400" s="526"/>
      <c r="AO400" s="526"/>
      <c r="AP400" s="526"/>
      <c r="AQ400" s="526"/>
      <c r="AR400" s="526"/>
      <c r="AS400" s="526"/>
      <c r="AT400" s="526"/>
      <c r="AU400" s="526"/>
      <c r="AV400" s="526"/>
      <c r="AW400" s="526"/>
      <c r="AX400" s="526"/>
      <c r="AY400" s="526"/>
      <c r="AZ400" s="526"/>
      <c r="BA400" s="526"/>
      <c r="BB400" s="526"/>
      <c r="BC400" s="526"/>
      <c r="BD400" s="526"/>
      <c r="BE400" s="526"/>
      <c r="BF400" s="526"/>
      <c r="BG400" s="526"/>
    </row>
    <row r="401" spans="1:59" s="830" customFormat="1" ht="17.25" customHeight="1" x14ac:dyDescent="0.25">
      <c r="A401" s="865"/>
      <c r="B401" s="865"/>
      <c r="C401" s="908"/>
      <c r="G401" s="865"/>
      <c r="H401" s="874"/>
      <c r="I401" s="869"/>
      <c r="J401" s="869"/>
      <c r="K401" s="869"/>
      <c r="L401" s="869"/>
      <c r="M401" s="874"/>
      <c r="O401" s="874"/>
      <c r="P401" s="874"/>
      <c r="Q401" s="874"/>
      <c r="R401" s="874"/>
      <c r="S401" s="874"/>
      <c r="T401" s="874"/>
      <c r="W401" s="874"/>
      <c r="X401" s="874"/>
      <c r="Y401" s="874"/>
      <c r="Z401" s="874"/>
      <c r="AA401" s="874"/>
      <c r="AD401" s="526"/>
      <c r="AE401" s="526"/>
      <c r="AF401" s="526"/>
      <c r="AG401" s="526"/>
      <c r="AH401" s="526"/>
      <c r="AI401" s="526"/>
      <c r="AJ401" s="526"/>
      <c r="AK401" s="526"/>
      <c r="AL401" s="526"/>
      <c r="AM401" s="526"/>
      <c r="AN401" s="526"/>
      <c r="AO401" s="526"/>
      <c r="AP401" s="526"/>
      <c r="AQ401" s="526"/>
      <c r="AR401" s="526"/>
      <c r="AS401" s="526"/>
      <c r="AT401" s="526"/>
      <c r="AU401" s="526"/>
      <c r="AV401" s="526"/>
      <c r="AW401" s="526"/>
      <c r="AX401" s="526"/>
      <c r="AY401" s="526"/>
      <c r="AZ401" s="526"/>
      <c r="BA401" s="526"/>
      <c r="BB401" s="526"/>
      <c r="BC401" s="526"/>
      <c r="BD401" s="526"/>
      <c r="BE401" s="526"/>
      <c r="BF401" s="526"/>
      <c r="BG401" s="526"/>
    </row>
    <row r="402" spans="1:59" s="830" customFormat="1" ht="17.25" customHeight="1" x14ac:dyDescent="0.25">
      <c r="A402" s="865"/>
      <c r="B402" s="865"/>
      <c r="C402" s="908"/>
      <c r="G402" s="865"/>
      <c r="H402" s="874"/>
      <c r="I402" s="869"/>
      <c r="J402" s="869"/>
      <c r="K402" s="869"/>
      <c r="L402" s="869"/>
      <c r="M402" s="874"/>
      <c r="O402" s="874"/>
      <c r="P402" s="874"/>
      <c r="Q402" s="874"/>
      <c r="R402" s="874"/>
      <c r="S402" s="874"/>
      <c r="T402" s="874"/>
      <c r="W402" s="874"/>
      <c r="X402" s="874"/>
      <c r="Y402" s="874"/>
      <c r="Z402" s="874"/>
      <c r="AA402" s="874"/>
      <c r="AD402" s="526"/>
      <c r="AE402" s="526"/>
      <c r="AF402" s="526"/>
      <c r="AG402" s="526"/>
      <c r="AH402" s="526"/>
      <c r="AI402" s="526"/>
      <c r="AJ402" s="526"/>
      <c r="AK402" s="526"/>
      <c r="AL402" s="526"/>
      <c r="AM402" s="526"/>
      <c r="AN402" s="526"/>
      <c r="AO402" s="526"/>
      <c r="AP402" s="526"/>
      <c r="AQ402" s="526"/>
      <c r="AR402" s="526"/>
      <c r="AS402" s="526"/>
      <c r="AT402" s="526"/>
      <c r="AU402" s="526"/>
      <c r="AV402" s="526"/>
      <c r="AW402" s="526"/>
      <c r="AX402" s="526"/>
      <c r="AY402" s="526"/>
      <c r="AZ402" s="526"/>
      <c r="BA402" s="526"/>
      <c r="BB402" s="526"/>
      <c r="BC402" s="526"/>
      <c r="BD402" s="526"/>
      <c r="BE402" s="526"/>
      <c r="BF402" s="526"/>
      <c r="BG402" s="526"/>
    </row>
    <row r="403" spans="1:59" s="830" customFormat="1" ht="17.25" customHeight="1" x14ac:dyDescent="0.25">
      <c r="A403" s="865"/>
      <c r="B403" s="865"/>
      <c r="C403" s="908"/>
      <c r="G403" s="865"/>
      <c r="H403" s="874"/>
      <c r="I403" s="869"/>
      <c r="J403" s="869"/>
      <c r="K403" s="869"/>
      <c r="L403" s="869"/>
      <c r="M403" s="874"/>
      <c r="O403" s="874"/>
      <c r="P403" s="874"/>
      <c r="Q403" s="874"/>
      <c r="R403" s="874"/>
      <c r="S403" s="874"/>
      <c r="T403" s="874"/>
      <c r="W403" s="874"/>
      <c r="X403" s="874"/>
      <c r="Y403" s="874"/>
      <c r="Z403" s="874"/>
      <c r="AA403" s="874"/>
      <c r="AD403" s="526"/>
      <c r="AE403" s="526"/>
      <c r="AF403" s="526"/>
      <c r="AG403" s="526"/>
      <c r="AH403" s="526"/>
      <c r="AI403" s="526"/>
      <c r="AJ403" s="526"/>
      <c r="AK403" s="526"/>
      <c r="AL403" s="526"/>
      <c r="AM403" s="526"/>
      <c r="AN403" s="526"/>
      <c r="AO403" s="526"/>
      <c r="AP403" s="526"/>
      <c r="AQ403" s="526"/>
      <c r="AR403" s="526"/>
      <c r="AS403" s="526"/>
      <c r="AT403" s="526"/>
      <c r="AU403" s="526"/>
      <c r="AV403" s="526"/>
      <c r="AW403" s="526"/>
      <c r="AX403" s="526"/>
      <c r="AY403" s="526"/>
      <c r="AZ403" s="526"/>
      <c r="BA403" s="526"/>
      <c r="BB403" s="526"/>
      <c r="BC403" s="526"/>
      <c r="BD403" s="526"/>
      <c r="BE403" s="526"/>
      <c r="BF403" s="526"/>
      <c r="BG403" s="526"/>
    </row>
    <row r="404" spans="1:59" s="830" customFormat="1" ht="17.25" customHeight="1" x14ac:dyDescent="0.25">
      <c r="A404" s="865"/>
      <c r="B404" s="865"/>
      <c r="C404" s="908"/>
      <c r="G404" s="865"/>
      <c r="H404" s="874"/>
      <c r="I404" s="869"/>
      <c r="J404" s="869"/>
      <c r="K404" s="869"/>
      <c r="L404" s="869"/>
      <c r="M404" s="874"/>
      <c r="O404" s="874"/>
      <c r="P404" s="874"/>
      <c r="Q404" s="874"/>
      <c r="R404" s="874"/>
      <c r="S404" s="874"/>
      <c r="T404" s="874"/>
      <c r="W404" s="874"/>
      <c r="X404" s="874"/>
      <c r="Y404" s="874"/>
      <c r="Z404" s="874"/>
      <c r="AA404" s="874"/>
      <c r="AD404" s="526"/>
      <c r="AE404" s="526"/>
      <c r="AF404" s="526"/>
      <c r="AG404" s="526"/>
      <c r="AH404" s="526"/>
      <c r="AI404" s="526"/>
      <c r="AJ404" s="526"/>
      <c r="AK404" s="526"/>
      <c r="AL404" s="526"/>
      <c r="AM404" s="526"/>
      <c r="AN404" s="526"/>
      <c r="AO404" s="526"/>
      <c r="AP404" s="526"/>
      <c r="AQ404" s="526"/>
      <c r="AR404" s="526"/>
      <c r="AS404" s="526"/>
      <c r="AT404" s="526"/>
      <c r="AU404" s="526"/>
      <c r="AV404" s="526"/>
      <c r="AW404" s="526"/>
      <c r="AX404" s="526"/>
      <c r="AY404" s="526"/>
      <c r="AZ404" s="526"/>
      <c r="BA404" s="526"/>
      <c r="BB404" s="526"/>
      <c r="BC404" s="526"/>
      <c r="BD404" s="526"/>
      <c r="BE404" s="526"/>
      <c r="BF404" s="526"/>
      <c r="BG404" s="526"/>
    </row>
    <row r="405" spans="1:59" s="830" customFormat="1" ht="17.25" customHeight="1" x14ac:dyDescent="0.25">
      <c r="A405" s="865"/>
      <c r="B405" s="865"/>
      <c r="C405" s="908"/>
      <c r="G405" s="865"/>
      <c r="H405" s="874"/>
      <c r="I405" s="869"/>
      <c r="J405" s="869"/>
      <c r="K405" s="869"/>
      <c r="L405" s="869"/>
      <c r="M405" s="874"/>
      <c r="O405" s="874"/>
      <c r="P405" s="874"/>
      <c r="Q405" s="874"/>
      <c r="R405" s="874"/>
      <c r="S405" s="874"/>
      <c r="T405" s="874"/>
      <c r="W405" s="874"/>
      <c r="X405" s="874"/>
      <c r="Y405" s="874"/>
      <c r="Z405" s="874"/>
      <c r="AA405" s="874"/>
      <c r="AD405" s="526"/>
      <c r="AE405" s="526"/>
      <c r="AF405" s="526"/>
      <c r="AG405" s="526"/>
      <c r="AH405" s="526"/>
      <c r="AI405" s="526"/>
      <c r="AJ405" s="526"/>
      <c r="AK405" s="526"/>
      <c r="AL405" s="526"/>
      <c r="AM405" s="526"/>
      <c r="AN405" s="526"/>
      <c r="AO405" s="526"/>
      <c r="AP405" s="526"/>
      <c r="AQ405" s="526"/>
      <c r="AR405" s="526"/>
      <c r="AS405" s="526"/>
      <c r="AT405" s="526"/>
      <c r="AU405" s="526"/>
      <c r="AV405" s="526"/>
      <c r="AW405" s="526"/>
      <c r="AX405" s="526"/>
      <c r="AY405" s="526"/>
      <c r="AZ405" s="526"/>
      <c r="BA405" s="526"/>
      <c r="BB405" s="526"/>
      <c r="BC405" s="526"/>
      <c r="BD405" s="526"/>
      <c r="BE405" s="526"/>
      <c r="BF405" s="526"/>
      <c r="BG405" s="526"/>
    </row>
    <row r="406" spans="1:59" s="830" customFormat="1" ht="17.25" customHeight="1" x14ac:dyDescent="0.25">
      <c r="A406" s="865"/>
      <c r="B406" s="865"/>
      <c r="C406" s="908"/>
      <c r="G406" s="865"/>
      <c r="H406" s="874"/>
      <c r="I406" s="869"/>
      <c r="J406" s="869"/>
      <c r="K406" s="869"/>
      <c r="L406" s="869"/>
      <c r="M406" s="874"/>
      <c r="O406" s="874"/>
      <c r="P406" s="874"/>
      <c r="Q406" s="874"/>
      <c r="R406" s="874"/>
      <c r="S406" s="874"/>
      <c r="T406" s="874"/>
      <c r="W406" s="874"/>
      <c r="X406" s="874"/>
      <c r="Y406" s="874"/>
      <c r="Z406" s="874"/>
      <c r="AA406" s="874"/>
      <c r="AD406" s="526"/>
      <c r="AE406" s="526"/>
      <c r="AF406" s="526"/>
      <c r="AG406" s="526"/>
      <c r="AH406" s="526"/>
      <c r="AI406" s="526"/>
      <c r="AJ406" s="526"/>
      <c r="AK406" s="526"/>
      <c r="AL406" s="526"/>
      <c r="AM406" s="526"/>
      <c r="AN406" s="526"/>
      <c r="AO406" s="526"/>
      <c r="AP406" s="526"/>
      <c r="AQ406" s="526"/>
      <c r="AR406" s="526"/>
      <c r="AS406" s="526"/>
      <c r="AT406" s="526"/>
      <c r="AU406" s="526"/>
      <c r="AV406" s="526"/>
      <c r="AW406" s="526"/>
      <c r="AX406" s="526"/>
      <c r="AY406" s="526"/>
      <c r="AZ406" s="526"/>
      <c r="BA406" s="526"/>
      <c r="BB406" s="526"/>
      <c r="BC406" s="526"/>
      <c r="BD406" s="526"/>
      <c r="BE406" s="526"/>
      <c r="BF406" s="526"/>
      <c r="BG406" s="526"/>
    </row>
    <row r="407" spans="1:59" s="830" customFormat="1" ht="17.25" customHeight="1" x14ac:dyDescent="0.25">
      <c r="A407" s="865"/>
      <c r="B407" s="865"/>
      <c r="C407" s="908"/>
      <c r="G407" s="865"/>
      <c r="H407" s="874"/>
      <c r="I407" s="869"/>
      <c r="J407" s="869"/>
      <c r="K407" s="869"/>
      <c r="L407" s="869"/>
      <c r="M407" s="874"/>
      <c r="O407" s="874"/>
      <c r="P407" s="874"/>
      <c r="Q407" s="874"/>
      <c r="R407" s="874"/>
      <c r="S407" s="874"/>
      <c r="T407" s="874"/>
      <c r="W407" s="874"/>
      <c r="X407" s="874"/>
      <c r="Y407" s="874"/>
      <c r="Z407" s="874"/>
      <c r="AA407" s="874"/>
      <c r="AD407" s="526"/>
      <c r="AE407" s="526"/>
      <c r="AF407" s="526"/>
      <c r="AG407" s="526"/>
      <c r="AH407" s="526"/>
      <c r="AI407" s="526"/>
      <c r="AJ407" s="526"/>
      <c r="AK407" s="526"/>
      <c r="AL407" s="526"/>
      <c r="AM407" s="526"/>
      <c r="AN407" s="526"/>
      <c r="AO407" s="526"/>
      <c r="AP407" s="526"/>
      <c r="AQ407" s="526"/>
      <c r="AR407" s="526"/>
      <c r="AS407" s="526"/>
      <c r="AT407" s="526"/>
      <c r="AU407" s="526"/>
      <c r="AV407" s="526"/>
      <c r="AW407" s="526"/>
      <c r="AX407" s="526"/>
      <c r="AY407" s="526"/>
      <c r="AZ407" s="526"/>
      <c r="BA407" s="526"/>
      <c r="BB407" s="526"/>
      <c r="BC407" s="526"/>
      <c r="BD407" s="526"/>
      <c r="BE407" s="526"/>
      <c r="BF407" s="526"/>
      <c r="BG407" s="526"/>
    </row>
    <row r="408" spans="1:59" s="830" customFormat="1" ht="17.25" customHeight="1" x14ac:dyDescent="0.25">
      <c r="A408" s="865"/>
      <c r="B408" s="865"/>
      <c r="C408" s="908"/>
      <c r="G408" s="865"/>
      <c r="H408" s="874"/>
      <c r="I408" s="869"/>
      <c r="J408" s="869"/>
      <c r="K408" s="869"/>
      <c r="L408" s="869"/>
      <c r="M408" s="874"/>
      <c r="O408" s="874"/>
      <c r="P408" s="874"/>
      <c r="Q408" s="874"/>
      <c r="R408" s="874"/>
      <c r="S408" s="874"/>
      <c r="T408" s="874"/>
      <c r="W408" s="874"/>
      <c r="X408" s="874"/>
      <c r="Y408" s="874"/>
      <c r="Z408" s="874"/>
      <c r="AA408" s="874"/>
      <c r="AD408" s="526"/>
      <c r="AE408" s="526"/>
      <c r="AF408" s="526"/>
      <c r="AG408" s="526"/>
      <c r="AH408" s="526"/>
      <c r="AI408" s="526"/>
      <c r="AJ408" s="526"/>
      <c r="AK408" s="526"/>
      <c r="AL408" s="526"/>
      <c r="AM408" s="526"/>
      <c r="AN408" s="526"/>
      <c r="AO408" s="526"/>
      <c r="AP408" s="526"/>
      <c r="AQ408" s="526"/>
      <c r="AR408" s="526"/>
      <c r="AS408" s="526"/>
      <c r="AT408" s="526"/>
      <c r="AU408" s="526"/>
      <c r="AV408" s="526"/>
      <c r="AW408" s="526"/>
      <c r="AX408" s="526"/>
      <c r="AY408" s="526"/>
      <c r="AZ408" s="526"/>
      <c r="BA408" s="526"/>
      <c r="BB408" s="526"/>
      <c r="BC408" s="526"/>
      <c r="BD408" s="526"/>
      <c r="BE408" s="526"/>
      <c r="BF408" s="526"/>
      <c r="BG408" s="526"/>
    </row>
    <row r="409" spans="1:59" s="830" customFormat="1" ht="17.25" customHeight="1" x14ac:dyDescent="0.25">
      <c r="A409" s="865"/>
      <c r="B409" s="865"/>
      <c r="C409" s="908"/>
      <c r="G409" s="865"/>
      <c r="H409" s="874"/>
      <c r="I409" s="869"/>
      <c r="J409" s="869"/>
      <c r="K409" s="869"/>
      <c r="L409" s="869"/>
      <c r="M409" s="874"/>
      <c r="O409" s="874"/>
      <c r="P409" s="874"/>
      <c r="Q409" s="874"/>
      <c r="R409" s="874"/>
      <c r="S409" s="874"/>
      <c r="T409" s="874"/>
      <c r="W409" s="874"/>
      <c r="X409" s="874"/>
      <c r="Y409" s="874"/>
      <c r="Z409" s="874"/>
      <c r="AA409" s="874"/>
      <c r="AD409" s="526"/>
      <c r="AE409" s="526"/>
      <c r="AF409" s="526"/>
      <c r="AG409" s="526"/>
      <c r="AH409" s="526"/>
      <c r="AI409" s="526"/>
      <c r="AJ409" s="526"/>
      <c r="AK409" s="526"/>
      <c r="AL409" s="526"/>
      <c r="AM409" s="526"/>
      <c r="AN409" s="526"/>
      <c r="AO409" s="526"/>
      <c r="AP409" s="526"/>
      <c r="AQ409" s="526"/>
      <c r="AR409" s="526"/>
      <c r="AS409" s="526"/>
      <c r="AT409" s="526"/>
      <c r="AU409" s="526"/>
      <c r="AV409" s="526"/>
      <c r="AW409" s="526"/>
      <c r="AX409" s="526"/>
      <c r="AY409" s="526"/>
      <c r="AZ409" s="526"/>
      <c r="BA409" s="526"/>
      <c r="BB409" s="526"/>
      <c r="BC409" s="526"/>
      <c r="BD409" s="526"/>
      <c r="BE409" s="526"/>
      <c r="BF409" s="526"/>
      <c r="BG409" s="526"/>
    </row>
    <row r="410" spans="1:59" s="830" customFormat="1" ht="17.25" customHeight="1" x14ac:dyDescent="0.25">
      <c r="A410" s="865"/>
      <c r="B410" s="865"/>
      <c r="C410" s="908"/>
      <c r="G410" s="865"/>
      <c r="H410" s="874"/>
      <c r="I410" s="869"/>
      <c r="J410" s="869"/>
      <c r="K410" s="869"/>
      <c r="L410" s="869"/>
      <c r="M410" s="874"/>
      <c r="O410" s="874"/>
      <c r="P410" s="874"/>
      <c r="Q410" s="874"/>
      <c r="R410" s="874"/>
      <c r="S410" s="874"/>
      <c r="T410" s="874"/>
      <c r="W410" s="874"/>
      <c r="X410" s="874"/>
      <c r="Y410" s="874"/>
      <c r="Z410" s="874"/>
      <c r="AA410" s="874"/>
      <c r="AD410" s="526"/>
      <c r="AE410" s="526"/>
      <c r="AF410" s="526"/>
      <c r="AG410" s="526"/>
      <c r="AH410" s="526"/>
      <c r="AI410" s="526"/>
      <c r="AJ410" s="526"/>
      <c r="AK410" s="526"/>
      <c r="AL410" s="526"/>
      <c r="AM410" s="526"/>
      <c r="AN410" s="526"/>
      <c r="AO410" s="526"/>
      <c r="AP410" s="526"/>
      <c r="AQ410" s="526"/>
      <c r="AR410" s="526"/>
      <c r="AS410" s="526"/>
      <c r="AT410" s="526"/>
      <c r="AU410" s="526"/>
      <c r="AV410" s="526"/>
      <c r="AW410" s="526"/>
      <c r="AX410" s="526"/>
      <c r="AY410" s="526"/>
      <c r="AZ410" s="526"/>
      <c r="BA410" s="526"/>
      <c r="BB410" s="526"/>
      <c r="BC410" s="526"/>
      <c r="BD410" s="526"/>
      <c r="BE410" s="526"/>
      <c r="BF410" s="526"/>
      <c r="BG410" s="526"/>
    </row>
    <row r="411" spans="1:59" s="830" customFormat="1" ht="17.25" customHeight="1" x14ac:dyDescent="0.25">
      <c r="A411" s="865"/>
      <c r="B411" s="865"/>
      <c r="C411" s="908"/>
      <c r="G411" s="865"/>
      <c r="H411" s="874"/>
      <c r="I411" s="869"/>
      <c r="J411" s="869"/>
      <c r="K411" s="869"/>
      <c r="L411" s="869"/>
      <c r="M411" s="874"/>
      <c r="O411" s="874"/>
      <c r="P411" s="874"/>
      <c r="Q411" s="874"/>
      <c r="R411" s="874"/>
      <c r="S411" s="874"/>
      <c r="T411" s="874"/>
      <c r="W411" s="874"/>
      <c r="X411" s="874"/>
      <c r="Y411" s="874"/>
      <c r="Z411" s="874"/>
      <c r="AA411" s="874"/>
      <c r="AD411" s="526"/>
      <c r="AE411" s="526"/>
      <c r="AF411" s="526"/>
      <c r="AG411" s="526"/>
      <c r="AH411" s="526"/>
      <c r="AI411" s="526"/>
      <c r="AJ411" s="526"/>
      <c r="AK411" s="526"/>
      <c r="AL411" s="526"/>
      <c r="AM411" s="526"/>
      <c r="AN411" s="526"/>
      <c r="AO411" s="526"/>
      <c r="AP411" s="526"/>
      <c r="AQ411" s="526"/>
      <c r="AR411" s="526"/>
      <c r="AS411" s="526"/>
      <c r="AT411" s="526"/>
      <c r="AU411" s="526"/>
      <c r="AV411" s="526"/>
      <c r="AW411" s="526"/>
      <c r="AX411" s="526"/>
      <c r="AY411" s="526"/>
      <c r="AZ411" s="526"/>
      <c r="BA411" s="526"/>
      <c r="BB411" s="526"/>
      <c r="BC411" s="526"/>
      <c r="BD411" s="526"/>
      <c r="BE411" s="526"/>
      <c r="BF411" s="526"/>
      <c r="BG411" s="526"/>
    </row>
    <row r="412" spans="1:59" s="830" customFormat="1" ht="17.25" customHeight="1" x14ac:dyDescent="0.25">
      <c r="A412" s="865"/>
      <c r="B412" s="865"/>
      <c r="C412" s="908"/>
      <c r="G412" s="865"/>
      <c r="H412" s="874"/>
      <c r="I412" s="869"/>
      <c r="J412" s="869"/>
      <c r="K412" s="869"/>
      <c r="L412" s="869"/>
      <c r="M412" s="874"/>
      <c r="O412" s="874"/>
      <c r="P412" s="874"/>
      <c r="Q412" s="874"/>
      <c r="R412" s="874"/>
      <c r="S412" s="874"/>
      <c r="T412" s="874"/>
      <c r="W412" s="874"/>
      <c r="X412" s="874"/>
      <c r="Y412" s="874"/>
      <c r="Z412" s="874"/>
      <c r="AA412" s="874"/>
      <c r="AD412" s="526"/>
      <c r="AE412" s="526"/>
      <c r="AF412" s="526"/>
      <c r="AG412" s="526"/>
      <c r="AH412" s="526"/>
      <c r="AI412" s="526"/>
      <c r="AJ412" s="526"/>
      <c r="AK412" s="526"/>
      <c r="AL412" s="526"/>
      <c r="AM412" s="526"/>
      <c r="AN412" s="526"/>
      <c r="AO412" s="526"/>
      <c r="AP412" s="526"/>
      <c r="AQ412" s="526"/>
      <c r="AR412" s="526"/>
      <c r="AS412" s="526"/>
      <c r="AT412" s="526"/>
      <c r="AU412" s="526"/>
      <c r="AV412" s="526"/>
      <c r="AW412" s="526"/>
      <c r="AX412" s="526"/>
      <c r="AY412" s="526"/>
      <c r="AZ412" s="526"/>
      <c r="BA412" s="526"/>
      <c r="BB412" s="526"/>
      <c r="BC412" s="526"/>
      <c r="BD412" s="526"/>
      <c r="BE412" s="526"/>
      <c r="BF412" s="526"/>
      <c r="BG412" s="526"/>
    </row>
    <row r="413" spans="1:59" s="830" customFormat="1" ht="17.25" customHeight="1" x14ac:dyDescent="0.25">
      <c r="A413" s="865"/>
      <c r="B413" s="865"/>
      <c r="C413" s="908"/>
      <c r="G413" s="865"/>
      <c r="H413" s="874"/>
      <c r="I413" s="869"/>
      <c r="J413" s="869"/>
      <c r="K413" s="869"/>
      <c r="L413" s="869"/>
      <c r="M413" s="874"/>
      <c r="O413" s="874"/>
      <c r="P413" s="874"/>
      <c r="Q413" s="874"/>
      <c r="R413" s="874"/>
      <c r="S413" s="874"/>
      <c r="T413" s="874"/>
      <c r="W413" s="874"/>
      <c r="X413" s="874"/>
      <c r="Y413" s="874"/>
      <c r="Z413" s="874"/>
      <c r="AA413" s="874"/>
      <c r="AD413" s="526"/>
      <c r="AE413" s="526"/>
      <c r="AF413" s="526"/>
      <c r="AG413" s="526"/>
      <c r="AH413" s="526"/>
      <c r="AI413" s="526"/>
      <c r="AJ413" s="526"/>
      <c r="AK413" s="526"/>
      <c r="AL413" s="526"/>
      <c r="AM413" s="526"/>
      <c r="AN413" s="526"/>
      <c r="AO413" s="526"/>
      <c r="AP413" s="526"/>
      <c r="AQ413" s="526"/>
      <c r="AR413" s="526"/>
      <c r="AS413" s="526"/>
      <c r="AT413" s="526"/>
      <c r="AU413" s="526"/>
      <c r="AV413" s="526"/>
      <c r="AW413" s="526"/>
      <c r="AX413" s="526"/>
      <c r="AY413" s="526"/>
      <c r="AZ413" s="526"/>
      <c r="BA413" s="526"/>
      <c r="BB413" s="526"/>
      <c r="BC413" s="526"/>
      <c r="BD413" s="526"/>
      <c r="BE413" s="526"/>
      <c r="BF413" s="526"/>
      <c r="BG413" s="526"/>
    </row>
    <row r="414" spans="1:59" s="830" customFormat="1" ht="17.25" customHeight="1" x14ac:dyDescent="0.25">
      <c r="A414" s="865"/>
      <c r="B414" s="865"/>
      <c r="C414" s="908"/>
      <c r="G414" s="865"/>
      <c r="H414" s="874"/>
      <c r="I414" s="869"/>
      <c r="J414" s="869"/>
      <c r="K414" s="869"/>
      <c r="L414" s="869"/>
      <c r="M414" s="874"/>
      <c r="O414" s="874"/>
      <c r="P414" s="874"/>
      <c r="Q414" s="874"/>
      <c r="R414" s="874"/>
      <c r="S414" s="874"/>
      <c r="T414" s="874"/>
      <c r="W414" s="874"/>
      <c r="X414" s="874"/>
      <c r="Y414" s="874"/>
      <c r="Z414" s="874"/>
      <c r="AA414" s="874"/>
      <c r="AD414" s="526"/>
      <c r="AE414" s="526"/>
      <c r="AF414" s="526"/>
      <c r="AG414" s="526"/>
      <c r="AH414" s="526"/>
      <c r="AI414" s="526"/>
      <c r="AJ414" s="526"/>
      <c r="AK414" s="526"/>
      <c r="AL414" s="526"/>
      <c r="AM414" s="526"/>
      <c r="AN414" s="526"/>
      <c r="AO414" s="526"/>
      <c r="AP414" s="526"/>
      <c r="AQ414" s="526"/>
      <c r="AR414" s="526"/>
      <c r="AS414" s="526"/>
      <c r="AT414" s="526"/>
      <c r="AU414" s="526"/>
      <c r="AV414" s="526"/>
      <c r="AW414" s="526"/>
      <c r="AX414" s="526"/>
      <c r="AY414" s="526"/>
      <c r="AZ414" s="526"/>
      <c r="BA414" s="526"/>
      <c r="BB414" s="526"/>
      <c r="BC414" s="526"/>
      <c r="BD414" s="526"/>
      <c r="BE414" s="526"/>
      <c r="BF414" s="526"/>
      <c r="BG414" s="526"/>
    </row>
    <row r="415" spans="1:59" s="830" customFormat="1" ht="17.25" customHeight="1" x14ac:dyDescent="0.25">
      <c r="A415" s="865"/>
      <c r="B415" s="865"/>
      <c r="C415" s="908"/>
      <c r="G415" s="865"/>
      <c r="H415" s="874"/>
      <c r="I415" s="869"/>
      <c r="J415" s="869"/>
      <c r="K415" s="869"/>
      <c r="L415" s="869"/>
      <c r="M415" s="874"/>
      <c r="O415" s="874"/>
      <c r="P415" s="874"/>
      <c r="Q415" s="874"/>
      <c r="R415" s="874"/>
      <c r="S415" s="874"/>
      <c r="T415" s="874"/>
      <c r="W415" s="874"/>
      <c r="X415" s="874"/>
      <c r="Y415" s="874"/>
      <c r="Z415" s="874"/>
      <c r="AA415" s="874"/>
      <c r="AD415" s="526"/>
      <c r="AE415" s="526"/>
      <c r="AF415" s="526"/>
      <c r="AG415" s="526"/>
      <c r="AH415" s="526"/>
      <c r="AI415" s="526"/>
      <c r="AJ415" s="526"/>
      <c r="AK415" s="526"/>
      <c r="AL415" s="526"/>
      <c r="AM415" s="526"/>
      <c r="AN415" s="526"/>
      <c r="AO415" s="526"/>
      <c r="AP415" s="526"/>
      <c r="AQ415" s="526"/>
      <c r="AR415" s="526"/>
      <c r="AS415" s="526"/>
      <c r="AT415" s="526"/>
      <c r="AU415" s="526"/>
      <c r="AV415" s="526"/>
      <c r="AW415" s="526"/>
      <c r="AX415" s="526"/>
      <c r="AY415" s="526"/>
      <c r="AZ415" s="526"/>
      <c r="BA415" s="526"/>
      <c r="BB415" s="526"/>
      <c r="BC415" s="526"/>
      <c r="BD415" s="526"/>
      <c r="BE415" s="526"/>
      <c r="BF415" s="526"/>
      <c r="BG415" s="526"/>
    </row>
    <row r="416" spans="1:59" s="830" customFormat="1" ht="17.25" customHeight="1" x14ac:dyDescent="0.25">
      <c r="A416" s="865"/>
      <c r="B416" s="865"/>
      <c r="C416" s="908"/>
      <c r="G416" s="865"/>
      <c r="H416" s="874"/>
      <c r="I416" s="869"/>
      <c r="J416" s="869"/>
      <c r="K416" s="869"/>
      <c r="L416" s="869"/>
      <c r="M416" s="874"/>
      <c r="O416" s="874"/>
      <c r="P416" s="874"/>
      <c r="Q416" s="874"/>
      <c r="R416" s="874"/>
      <c r="S416" s="874"/>
      <c r="T416" s="874"/>
      <c r="W416" s="874"/>
      <c r="X416" s="874"/>
      <c r="Y416" s="874"/>
      <c r="Z416" s="874"/>
      <c r="AA416" s="874"/>
      <c r="AD416" s="526"/>
      <c r="AE416" s="526"/>
      <c r="AF416" s="526"/>
      <c r="AG416" s="526"/>
      <c r="AH416" s="526"/>
      <c r="AI416" s="526"/>
      <c r="AJ416" s="526"/>
      <c r="AK416" s="526"/>
      <c r="AL416" s="526"/>
      <c r="AM416" s="526"/>
      <c r="AN416" s="526"/>
      <c r="AO416" s="526"/>
      <c r="AP416" s="526"/>
      <c r="AQ416" s="526"/>
      <c r="AR416" s="526"/>
      <c r="AS416" s="526"/>
      <c r="AT416" s="526"/>
      <c r="AU416" s="526"/>
      <c r="AV416" s="526"/>
      <c r="AW416" s="526"/>
      <c r="AX416" s="526"/>
      <c r="AY416" s="526"/>
      <c r="AZ416" s="526"/>
      <c r="BA416" s="526"/>
      <c r="BB416" s="526"/>
      <c r="BC416" s="526"/>
      <c r="BD416" s="526"/>
      <c r="BE416" s="526"/>
      <c r="BF416" s="526"/>
      <c r="BG416" s="526"/>
    </row>
    <row r="417" spans="1:59" s="830" customFormat="1" ht="17.25" customHeight="1" x14ac:dyDescent="0.25">
      <c r="A417" s="865"/>
      <c r="B417" s="865"/>
      <c r="C417" s="908"/>
      <c r="G417" s="865"/>
      <c r="H417" s="874"/>
      <c r="I417" s="869"/>
      <c r="J417" s="869"/>
      <c r="K417" s="869"/>
      <c r="L417" s="869"/>
      <c r="M417" s="874"/>
      <c r="O417" s="874"/>
      <c r="P417" s="874"/>
      <c r="Q417" s="874"/>
      <c r="R417" s="874"/>
      <c r="S417" s="874"/>
      <c r="T417" s="874"/>
      <c r="W417" s="874"/>
      <c r="X417" s="874"/>
      <c r="Y417" s="874"/>
      <c r="Z417" s="874"/>
      <c r="AA417" s="874"/>
      <c r="AD417" s="526"/>
      <c r="AE417" s="526"/>
      <c r="AF417" s="526"/>
      <c r="AG417" s="526"/>
      <c r="AH417" s="526"/>
      <c r="AI417" s="526"/>
      <c r="AJ417" s="526"/>
      <c r="AK417" s="526"/>
      <c r="AL417" s="526"/>
      <c r="AM417" s="526"/>
      <c r="AN417" s="526"/>
      <c r="AO417" s="526"/>
      <c r="AP417" s="526"/>
      <c r="AQ417" s="526"/>
      <c r="AR417" s="526"/>
      <c r="AS417" s="526"/>
      <c r="AT417" s="526"/>
      <c r="AU417" s="526"/>
      <c r="AV417" s="526"/>
      <c r="AW417" s="526"/>
      <c r="AX417" s="526"/>
      <c r="AY417" s="526"/>
      <c r="AZ417" s="526"/>
      <c r="BA417" s="526"/>
      <c r="BB417" s="526"/>
      <c r="BC417" s="526"/>
      <c r="BD417" s="526"/>
      <c r="BE417" s="526"/>
      <c r="BF417" s="526"/>
      <c r="BG417" s="526"/>
    </row>
    <row r="418" spans="1:59" s="830" customFormat="1" ht="17.25" customHeight="1" x14ac:dyDescent="0.25">
      <c r="A418" s="865"/>
      <c r="B418" s="865"/>
      <c r="C418" s="908"/>
      <c r="G418" s="865"/>
      <c r="H418" s="874"/>
      <c r="I418" s="869"/>
      <c r="J418" s="869"/>
      <c r="K418" s="869"/>
      <c r="L418" s="869"/>
      <c r="M418" s="874"/>
      <c r="O418" s="874"/>
      <c r="P418" s="874"/>
      <c r="Q418" s="874"/>
      <c r="R418" s="874"/>
      <c r="S418" s="874"/>
      <c r="T418" s="874"/>
      <c r="W418" s="874"/>
      <c r="X418" s="874"/>
      <c r="Y418" s="874"/>
      <c r="Z418" s="874"/>
      <c r="AA418" s="874"/>
      <c r="AD418" s="526"/>
      <c r="AE418" s="526"/>
      <c r="AF418" s="526"/>
      <c r="AG418" s="526"/>
      <c r="AH418" s="526"/>
      <c r="AI418" s="526"/>
      <c r="AJ418" s="526"/>
      <c r="AK418" s="526"/>
      <c r="AL418" s="526"/>
      <c r="AM418" s="526"/>
      <c r="AN418" s="526"/>
      <c r="AO418" s="526"/>
      <c r="AP418" s="526"/>
      <c r="AQ418" s="526"/>
      <c r="AR418" s="526"/>
      <c r="AS418" s="526"/>
      <c r="AT418" s="526"/>
      <c r="AU418" s="526"/>
      <c r="AV418" s="526"/>
      <c r="AW418" s="526"/>
      <c r="AX418" s="526"/>
      <c r="AY418" s="526"/>
      <c r="AZ418" s="526"/>
      <c r="BA418" s="526"/>
      <c r="BB418" s="526"/>
      <c r="BC418" s="526"/>
      <c r="BD418" s="526"/>
      <c r="BE418" s="526"/>
      <c r="BF418" s="526"/>
      <c r="BG418" s="526"/>
    </row>
    <row r="419" spans="1:59" s="830" customFormat="1" ht="17.25" customHeight="1" x14ac:dyDescent="0.25">
      <c r="A419" s="865"/>
      <c r="B419" s="865"/>
      <c r="C419" s="908"/>
      <c r="G419" s="865"/>
      <c r="H419" s="874"/>
      <c r="I419" s="869"/>
      <c r="J419" s="869"/>
      <c r="K419" s="869"/>
      <c r="L419" s="869"/>
      <c r="M419" s="874"/>
      <c r="O419" s="874"/>
      <c r="P419" s="874"/>
      <c r="Q419" s="874"/>
      <c r="R419" s="874"/>
      <c r="S419" s="874"/>
      <c r="T419" s="874"/>
      <c r="W419" s="874"/>
      <c r="X419" s="874"/>
      <c r="Y419" s="874"/>
      <c r="Z419" s="874"/>
      <c r="AA419" s="874"/>
      <c r="AD419" s="526"/>
      <c r="AE419" s="526"/>
      <c r="AF419" s="526"/>
      <c r="AG419" s="526"/>
      <c r="AH419" s="526"/>
      <c r="AI419" s="526"/>
      <c r="AJ419" s="526"/>
      <c r="AK419" s="526"/>
      <c r="AL419" s="526"/>
      <c r="AM419" s="526"/>
      <c r="AN419" s="526"/>
      <c r="AO419" s="526"/>
      <c r="AP419" s="526"/>
      <c r="AQ419" s="526"/>
      <c r="AR419" s="526"/>
      <c r="AS419" s="526"/>
      <c r="AT419" s="526"/>
      <c r="AU419" s="526"/>
      <c r="AV419" s="526"/>
      <c r="AW419" s="526"/>
      <c r="AX419" s="526"/>
      <c r="AY419" s="526"/>
      <c r="AZ419" s="526"/>
      <c r="BA419" s="526"/>
      <c r="BB419" s="526"/>
      <c r="BC419" s="526"/>
      <c r="BD419" s="526"/>
      <c r="BE419" s="526"/>
      <c r="BF419" s="526"/>
      <c r="BG419" s="526"/>
    </row>
    <row r="420" spans="1:59" s="830" customFormat="1" ht="17.25" customHeight="1" x14ac:dyDescent="0.25">
      <c r="A420" s="865"/>
      <c r="B420" s="865"/>
      <c r="C420" s="908"/>
      <c r="G420" s="865"/>
      <c r="H420" s="874"/>
      <c r="I420" s="869"/>
      <c r="J420" s="869"/>
      <c r="K420" s="869"/>
      <c r="L420" s="869"/>
      <c r="M420" s="874"/>
      <c r="O420" s="874"/>
      <c r="P420" s="874"/>
      <c r="Q420" s="874"/>
      <c r="R420" s="874"/>
      <c r="S420" s="874"/>
      <c r="T420" s="874"/>
      <c r="W420" s="874"/>
      <c r="X420" s="874"/>
      <c r="Y420" s="874"/>
      <c r="Z420" s="874"/>
      <c r="AA420" s="874"/>
      <c r="AD420" s="526"/>
      <c r="AE420" s="526"/>
      <c r="AF420" s="526"/>
      <c r="AG420" s="526"/>
      <c r="AH420" s="526"/>
      <c r="AI420" s="526"/>
      <c r="AJ420" s="526"/>
      <c r="AK420" s="526"/>
      <c r="AL420" s="526"/>
      <c r="AM420" s="526"/>
      <c r="AN420" s="526"/>
      <c r="AO420" s="526"/>
      <c r="AP420" s="526"/>
      <c r="AQ420" s="526"/>
      <c r="AR420" s="526"/>
      <c r="AS420" s="526"/>
      <c r="AT420" s="526"/>
      <c r="AU420" s="526"/>
      <c r="AV420" s="526"/>
      <c r="AW420" s="526"/>
      <c r="AX420" s="526"/>
      <c r="AY420" s="526"/>
      <c r="AZ420" s="526"/>
      <c r="BA420" s="526"/>
      <c r="BB420" s="526"/>
      <c r="BC420" s="526"/>
      <c r="BD420" s="526"/>
      <c r="BE420" s="526"/>
      <c r="BF420" s="526"/>
      <c r="BG420" s="526"/>
    </row>
    <row r="421" spans="1:59" s="830" customFormat="1" ht="17.25" customHeight="1" x14ac:dyDescent="0.25">
      <c r="A421" s="865"/>
      <c r="B421" s="865"/>
      <c r="C421" s="908"/>
      <c r="G421" s="865"/>
      <c r="H421" s="874"/>
      <c r="I421" s="869"/>
      <c r="J421" s="869"/>
      <c r="K421" s="869"/>
      <c r="L421" s="869"/>
      <c r="M421" s="874"/>
      <c r="O421" s="874"/>
      <c r="P421" s="874"/>
      <c r="Q421" s="874"/>
      <c r="R421" s="874"/>
      <c r="S421" s="874"/>
      <c r="T421" s="874"/>
      <c r="W421" s="874"/>
      <c r="X421" s="874"/>
      <c r="Y421" s="874"/>
      <c r="Z421" s="874"/>
      <c r="AA421" s="874"/>
      <c r="AD421" s="526"/>
      <c r="AE421" s="526"/>
      <c r="AF421" s="526"/>
      <c r="AG421" s="526"/>
      <c r="AH421" s="526"/>
      <c r="AI421" s="526"/>
      <c r="AJ421" s="526"/>
      <c r="AK421" s="526"/>
      <c r="AL421" s="526"/>
      <c r="AM421" s="526"/>
      <c r="AN421" s="526"/>
      <c r="AO421" s="526"/>
      <c r="AP421" s="526"/>
      <c r="AQ421" s="526"/>
      <c r="AR421" s="526"/>
      <c r="AS421" s="526"/>
      <c r="AT421" s="526"/>
      <c r="AU421" s="526"/>
      <c r="AV421" s="526"/>
      <c r="AW421" s="526"/>
      <c r="AX421" s="526"/>
      <c r="AY421" s="526"/>
      <c r="AZ421" s="526"/>
      <c r="BA421" s="526"/>
      <c r="BB421" s="526"/>
      <c r="BC421" s="526"/>
      <c r="BD421" s="526"/>
      <c r="BE421" s="526"/>
      <c r="BF421" s="526"/>
      <c r="BG421" s="526"/>
    </row>
    <row r="422" spans="1:59" s="830" customFormat="1" ht="17.25" customHeight="1" x14ac:dyDescent="0.25">
      <c r="A422" s="865"/>
      <c r="B422" s="865"/>
      <c r="C422" s="908"/>
      <c r="G422" s="865"/>
      <c r="H422" s="874"/>
      <c r="I422" s="869"/>
      <c r="J422" s="869"/>
      <c r="K422" s="869"/>
      <c r="L422" s="869"/>
      <c r="M422" s="874"/>
      <c r="O422" s="874"/>
      <c r="P422" s="874"/>
      <c r="Q422" s="874"/>
      <c r="R422" s="874"/>
      <c r="S422" s="874"/>
      <c r="T422" s="874"/>
      <c r="W422" s="874"/>
      <c r="X422" s="874"/>
      <c r="Y422" s="874"/>
      <c r="Z422" s="874"/>
      <c r="AA422" s="874"/>
      <c r="AD422" s="526"/>
      <c r="AE422" s="526"/>
      <c r="AF422" s="526"/>
      <c r="AG422" s="526"/>
      <c r="AH422" s="526"/>
      <c r="AI422" s="526"/>
      <c r="AJ422" s="526"/>
      <c r="AK422" s="526"/>
      <c r="AL422" s="526"/>
      <c r="AM422" s="526"/>
      <c r="AN422" s="526"/>
      <c r="AO422" s="526"/>
      <c r="AP422" s="526"/>
      <c r="AQ422" s="526"/>
      <c r="AR422" s="526"/>
      <c r="AS422" s="526"/>
      <c r="AT422" s="526"/>
      <c r="AU422" s="526"/>
      <c r="AV422" s="526"/>
      <c r="AW422" s="526"/>
      <c r="AX422" s="526"/>
      <c r="AY422" s="526"/>
      <c r="AZ422" s="526"/>
      <c r="BA422" s="526"/>
      <c r="BB422" s="526"/>
      <c r="BC422" s="526"/>
      <c r="BD422" s="526"/>
      <c r="BE422" s="526"/>
      <c r="BF422" s="526"/>
      <c r="BG422" s="526"/>
    </row>
    <row r="423" spans="1:59" s="830" customFormat="1" ht="17.25" customHeight="1" x14ac:dyDescent="0.25">
      <c r="A423" s="865"/>
      <c r="B423" s="865"/>
      <c r="C423" s="908"/>
      <c r="G423" s="865"/>
      <c r="H423" s="874"/>
      <c r="I423" s="869"/>
      <c r="J423" s="869"/>
      <c r="K423" s="869"/>
      <c r="L423" s="869"/>
      <c r="M423" s="874"/>
      <c r="O423" s="874"/>
      <c r="P423" s="874"/>
      <c r="Q423" s="874"/>
      <c r="R423" s="874"/>
      <c r="S423" s="874"/>
      <c r="T423" s="874"/>
      <c r="W423" s="874"/>
      <c r="X423" s="874"/>
      <c r="Y423" s="874"/>
      <c r="Z423" s="874"/>
      <c r="AA423" s="874"/>
      <c r="AD423" s="526"/>
      <c r="AE423" s="526"/>
      <c r="AF423" s="526"/>
      <c r="AG423" s="526"/>
      <c r="AH423" s="526"/>
      <c r="AI423" s="526"/>
      <c r="AJ423" s="526"/>
      <c r="AK423" s="526"/>
      <c r="AL423" s="526"/>
      <c r="AM423" s="526"/>
      <c r="AN423" s="526"/>
      <c r="AO423" s="526"/>
      <c r="AP423" s="526"/>
      <c r="AQ423" s="526"/>
      <c r="AR423" s="526"/>
      <c r="AS423" s="526"/>
      <c r="AT423" s="526"/>
      <c r="AU423" s="526"/>
      <c r="AV423" s="526"/>
      <c r="AW423" s="526"/>
      <c r="AX423" s="526"/>
      <c r="AY423" s="526"/>
      <c r="AZ423" s="526"/>
      <c r="BA423" s="526"/>
      <c r="BB423" s="526"/>
      <c r="BC423" s="526"/>
      <c r="BD423" s="526"/>
      <c r="BE423" s="526"/>
      <c r="BF423" s="526"/>
      <c r="BG423" s="526"/>
    </row>
    <row r="424" spans="1:59" s="830" customFormat="1" ht="17.25" customHeight="1" x14ac:dyDescent="0.25">
      <c r="A424" s="865"/>
      <c r="B424" s="865"/>
      <c r="C424" s="908"/>
      <c r="G424" s="865"/>
      <c r="H424" s="874"/>
      <c r="I424" s="869"/>
      <c r="J424" s="869"/>
      <c r="K424" s="869"/>
      <c r="L424" s="869"/>
      <c r="M424" s="874"/>
      <c r="O424" s="874"/>
      <c r="P424" s="874"/>
      <c r="Q424" s="874"/>
      <c r="R424" s="874"/>
      <c r="S424" s="874"/>
      <c r="T424" s="874"/>
      <c r="W424" s="874"/>
      <c r="X424" s="874"/>
      <c r="Y424" s="874"/>
      <c r="Z424" s="874"/>
      <c r="AA424" s="874"/>
      <c r="AD424" s="526"/>
      <c r="AE424" s="526"/>
      <c r="AF424" s="526"/>
      <c r="AG424" s="526"/>
      <c r="AH424" s="526"/>
      <c r="AI424" s="526"/>
      <c r="AJ424" s="526"/>
      <c r="AK424" s="526"/>
      <c r="AL424" s="526"/>
      <c r="AM424" s="526"/>
      <c r="AN424" s="526"/>
      <c r="AO424" s="526"/>
      <c r="AP424" s="526"/>
      <c r="AQ424" s="526"/>
      <c r="AR424" s="526"/>
      <c r="AS424" s="526"/>
      <c r="AT424" s="526"/>
      <c r="AU424" s="526"/>
      <c r="AV424" s="526"/>
      <c r="AW424" s="526"/>
      <c r="AX424" s="526"/>
      <c r="AY424" s="526"/>
      <c r="AZ424" s="526"/>
      <c r="BA424" s="526"/>
      <c r="BB424" s="526"/>
      <c r="BC424" s="526"/>
      <c r="BD424" s="526"/>
      <c r="BE424" s="526"/>
      <c r="BF424" s="526"/>
      <c r="BG424" s="526"/>
    </row>
    <row r="425" spans="1:59" s="830" customFormat="1" ht="17.25" customHeight="1" x14ac:dyDescent="0.25">
      <c r="A425" s="865"/>
      <c r="B425" s="865"/>
      <c r="C425" s="908"/>
      <c r="G425" s="865"/>
      <c r="H425" s="874"/>
      <c r="I425" s="869"/>
      <c r="J425" s="869"/>
      <c r="K425" s="869"/>
      <c r="L425" s="869"/>
      <c r="M425" s="874"/>
      <c r="O425" s="874"/>
      <c r="P425" s="874"/>
      <c r="Q425" s="874"/>
      <c r="R425" s="874"/>
      <c r="S425" s="874"/>
      <c r="T425" s="874"/>
      <c r="W425" s="874"/>
      <c r="X425" s="874"/>
      <c r="Y425" s="874"/>
      <c r="Z425" s="874"/>
      <c r="AA425" s="874"/>
      <c r="AD425" s="526"/>
      <c r="AE425" s="526"/>
      <c r="AF425" s="526"/>
      <c r="AG425" s="526"/>
      <c r="AH425" s="526"/>
      <c r="AI425" s="526"/>
      <c r="AJ425" s="526"/>
      <c r="AK425" s="526"/>
      <c r="AL425" s="526"/>
      <c r="AM425" s="526"/>
      <c r="AN425" s="526"/>
      <c r="AO425" s="526"/>
      <c r="AP425" s="526"/>
      <c r="AQ425" s="526"/>
      <c r="AR425" s="526"/>
      <c r="AS425" s="526"/>
      <c r="AT425" s="526"/>
      <c r="AU425" s="526"/>
      <c r="AV425" s="526"/>
      <c r="AW425" s="526"/>
      <c r="AX425" s="526"/>
      <c r="AY425" s="526"/>
      <c r="AZ425" s="526"/>
      <c r="BA425" s="526"/>
      <c r="BB425" s="526"/>
      <c r="BC425" s="526"/>
      <c r="BD425" s="526"/>
      <c r="BE425" s="526"/>
      <c r="BF425" s="526"/>
      <c r="BG425" s="526"/>
    </row>
    <row r="426" spans="1:59" s="830" customFormat="1" ht="17.25" customHeight="1" x14ac:dyDescent="0.25">
      <c r="A426" s="865"/>
      <c r="B426" s="865"/>
      <c r="C426" s="908"/>
      <c r="G426" s="865"/>
      <c r="H426" s="874"/>
      <c r="I426" s="869"/>
      <c r="J426" s="869"/>
      <c r="K426" s="869"/>
      <c r="L426" s="869"/>
      <c r="M426" s="874"/>
      <c r="O426" s="874"/>
      <c r="P426" s="874"/>
      <c r="Q426" s="874"/>
      <c r="R426" s="874"/>
      <c r="S426" s="874"/>
      <c r="T426" s="874"/>
      <c r="W426" s="874"/>
      <c r="X426" s="874"/>
      <c r="Y426" s="874"/>
      <c r="Z426" s="874"/>
      <c r="AA426" s="874"/>
      <c r="AD426" s="526"/>
      <c r="AE426" s="526"/>
      <c r="AF426" s="526"/>
      <c r="AG426" s="526"/>
      <c r="AH426" s="526"/>
      <c r="AI426" s="526"/>
      <c r="AJ426" s="526"/>
      <c r="AK426" s="526"/>
      <c r="AL426" s="526"/>
      <c r="AM426" s="526"/>
      <c r="AN426" s="526"/>
      <c r="AO426" s="526"/>
      <c r="AP426" s="526"/>
      <c r="AQ426" s="526"/>
      <c r="AR426" s="526"/>
      <c r="AS426" s="526"/>
      <c r="AT426" s="526"/>
      <c r="AU426" s="526"/>
      <c r="AV426" s="526"/>
      <c r="AW426" s="526"/>
      <c r="AX426" s="526"/>
      <c r="AY426" s="526"/>
      <c r="AZ426" s="526"/>
      <c r="BA426" s="526"/>
      <c r="BB426" s="526"/>
      <c r="BC426" s="526"/>
      <c r="BD426" s="526"/>
      <c r="BE426" s="526"/>
      <c r="BF426" s="526"/>
      <c r="BG426" s="526"/>
    </row>
    <row r="427" spans="1:59" s="830" customFormat="1" ht="17.25" customHeight="1" x14ac:dyDescent="0.25">
      <c r="A427" s="865"/>
      <c r="B427" s="865"/>
      <c r="C427" s="908"/>
      <c r="G427" s="865"/>
      <c r="H427" s="874"/>
      <c r="I427" s="869"/>
      <c r="J427" s="869"/>
      <c r="K427" s="869"/>
      <c r="L427" s="869"/>
      <c r="M427" s="874"/>
      <c r="O427" s="874"/>
      <c r="P427" s="874"/>
      <c r="Q427" s="874"/>
      <c r="R427" s="874"/>
      <c r="S427" s="874"/>
      <c r="T427" s="874"/>
      <c r="W427" s="874"/>
      <c r="X427" s="874"/>
      <c r="Y427" s="874"/>
      <c r="Z427" s="874"/>
      <c r="AA427" s="874"/>
      <c r="AD427" s="526"/>
      <c r="AE427" s="526"/>
      <c r="AF427" s="526"/>
      <c r="AG427" s="526"/>
      <c r="AH427" s="526"/>
      <c r="AI427" s="526"/>
      <c r="AJ427" s="526"/>
      <c r="AK427" s="526"/>
      <c r="AL427" s="526"/>
      <c r="AM427" s="526"/>
      <c r="AN427" s="526"/>
      <c r="AO427" s="526"/>
      <c r="AP427" s="526"/>
      <c r="AQ427" s="526"/>
      <c r="AR427" s="526"/>
      <c r="AS427" s="526"/>
      <c r="AT427" s="526"/>
      <c r="AU427" s="526"/>
      <c r="AV427" s="526"/>
      <c r="AW427" s="526"/>
      <c r="AX427" s="526"/>
      <c r="AY427" s="526"/>
      <c r="AZ427" s="526"/>
      <c r="BA427" s="526"/>
      <c r="BB427" s="526"/>
      <c r="BC427" s="526"/>
      <c r="BD427" s="526"/>
      <c r="BE427" s="526"/>
      <c r="BF427" s="526"/>
      <c r="BG427" s="526"/>
    </row>
    <row r="428" spans="1:59" s="830" customFormat="1" ht="17.25" customHeight="1" x14ac:dyDescent="0.25">
      <c r="A428" s="865"/>
      <c r="B428" s="865"/>
      <c r="C428" s="908"/>
      <c r="G428" s="865"/>
      <c r="H428" s="874"/>
      <c r="I428" s="869"/>
      <c r="J428" s="869"/>
      <c r="K428" s="869"/>
      <c r="L428" s="869"/>
      <c r="M428" s="874"/>
      <c r="O428" s="874"/>
      <c r="P428" s="874"/>
      <c r="Q428" s="874"/>
      <c r="R428" s="874"/>
      <c r="S428" s="874"/>
      <c r="T428" s="874"/>
      <c r="W428" s="874"/>
      <c r="X428" s="874"/>
      <c r="Y428" s="874"/>
      <c r="Z428" s="874"/>
      <c r="AA428" s="874"/>
      <c r="AD428" s="526"/>
      <c r="AE428" s="526"/>
      <c r="AF428" s="526"/>
      <c r="AG428" s="526"/>
      <c r="AH428" s="526"/>
      <c r="AI428" s="526"/>
      <c r="AJ428" s="526"/>
      <c r="AK428" s="526"/>
      <c r="AL428" s="526"/>
      <c r="AM428" s="526"/>
      <c r="AN428" s="526"/>
      <c r="AO428" s="526"/>
      <c r="AP428" s="526"/>
      <c r="AQ428" s="526"/>
      <c r="AR428" s="526"/>
      <c r="AS428" s="526"/>
      <c r="AT428" s="526"/>
      <c r="AU428" s="526"/>
      <c r="AV428" s="526"/>
      <c r="AW428" s="526"/>
      <c r="AX428" s="526"/>
      <c r="AY428" s="526"/>
      <c r="AZ428" s="526"/>
      <c r="BA428" s="526"/>
      <c r="BB428" s="526"/>
      <c r="BC428" s="526"/>
      <c r="BD428" s="526"/>
      <c r="BE428" s="526"/>
      <c r="BF428" s="526"/>
      <c r="BG428" s="526"/>
    </row>
    <row r="429" spans="1:59" s="830" customFormat="1" ht="17.25" customHeight="1" x14ac:dyDescent="0.25">
      <c r="A429" s="865"/>
      <c r="B429" s="865"/>
      <c r="C429" s="908"/>
      <c r="G429" s="865"/>
      <c r="H429" s="874"/>
      <c r="I429" s="869"/>
      <c r="J429" s="869"/>
      <c r="K429" s="869"/>
      <c r="L429" s="869"/>
      <c r="M429" s="874"/>
      <c r="O429" s="874"/>
      <c r="P429" s="874"/>
      <c r="Q429" s="874"/>
      <c r="R429" s="874"/>
      <c r="S429" s="874"/>
      <c r="T429" s="874"/>
      <c r="W429" s="874"/>
      <c r="X429" s="874"/>
      <c r="Y429" s="874"/>
      <c r="Z429" s="874"/>
      <c r="AA429" s="874"/>
      <c r="AD429" s="526"/>
      <c r="AE429" s="526"/>
      <c r="AF429" s="526"/>
      <c r="AG429" s="526"/>
      <c r="AH429" s="526"/>
      <c r="AI429" s="526"/>
      <c r="AJ429" s="526"/>
      <c r="AK429" s="526"/>
      <c r="AL429" s="526"/>
      <c r="AM429" s="526"/>
      <c r="AN429" s="526"/>
      <c r="AO429" s="526"/>
      <c r="AP429" s="526"/>
      <c r="AQ429" s="526"/>
      <c r="AR429" s="526"/>
      <c r="AS429" s="526"/>
      <c r="AT429" s="526"/>
      <c r="AU429" s="526"/>
      <c r="AV429" s="526"/>
      <c r="AW429" s="526"/>
      <c r="AX429" s="526"/>
      <c r="AY429" s="526"/>
      <c r="AZ429" s="526"/>
      <c r="BA429" s="526"/>
      <c r="BB429" s="526"/>
      <c r="BC429" s="526"/>
      <c r="BD429" s="526"/>
      <c r="BE429" s="526"/>
      <c r="BF429" s="526"/>
      <c r="BG429" s="526"/>
    </row>
    <row r="430" spans="1:59" s="830" customFormat="1" ht="17.25" customHeight="1" x14ac:dyDescent="0.25">
      <c r="A430" s="865"/>
      <c r="B430" s="865"/>
      <c r="C430" s="908"/>
      <c r="G430" s="865"/>
      <c r="H430" s="874"/>
      <c r="I430" s="869"/>
      <c r="J430" s="869"/>
      <c r="K430" s="869"/>
      <c r="L430" s="869"/>
      <c r="M430" s="874"/>
      <c r="O430" s="874"/>
      <c r="P430" s="874"/>
      <c r="Q430" s="874"/>
      <c r="R430" s="874"/>
      <c r="S430" s="874"/>
      <c r="T430" s="874"/>
      <c r="W430" s="874"/>
      <c r="X430" s="874"/>
      <c r="Y430" s="874"/>
      <c r="Z430" s="874"/>
      <c r="AA430" s="874"/>
      <c r="AD430" s="526"/>
      <c r="AE430" s="526"/>
      <c r="AF430" s="526"/>
      <c r="AG430" s="526"/>
      <c r="AH430" s="526"/>
      <c r="AI430" s="526"/>
      <c r="AJ430" s="526"/>
      <c r="AK430" s="526"/>
      <c r="AL430" s="526"/>
      <c r="AM430" s="526"/>
      <c r="AN430" s="526"/>
      <c r="AO430" s="526"/>
      <c r="AP430" s="526"/>
      <c r="AQ430" s="526"/>
      <c r="AR430" s="526"/>
      <c r="AS430" s="526"/>
      <c r="AT430" s="526"/>
      <c r="AU430" s="526"/>
      <c r="AV430" s="526"/>
      <c r="AW430" s="526"/>
      <c r="AX430" s="526"/>
      <c r="AY430" s="526"/>
      <c r="AZ430" s="526"/>
      <c r="BA430" s="526"/>
      <c r="BB430" s="526"/>
      <c r="BC430" s="526"/>
      <c r="BD430" s="526"/>
      <c r="BE430" s="526"/>
      <c r="BF430" s="526"/>
      <c r="BG430" s="526"/>
    </row>
    <row r="431" spans="1:59" s="830" customFormat="1" ht="17.25" customHeight="1" x14ac:dyDescent="0.25">
      <c r="A431" s="865"/>
      <c r="B431" s="865"/>
      <c r="C431" s="908"/>
      <c r="G431" s="865"/>
      <c r="H431" s="874"/>
      <c r="I431" s="869"/>
      <c r="J431" s="869"/>
      <c r="K431" s="869"/>
      <c r="L431" s="869"/>
      <c r="M431" s="874"/>
      <c r="O431" s="874"/>
      <c r="P431" s="874"/>
      <c r="Q431" s="874"/>
      <c r="R431" s="874"/>
      <c r="S431" s="874"/>
      <c r="T431" s="874"/>
      <c r="W431" s="874"/>
      <c r="X431" s="874"/>
      <c r="Y431" s="874"/>
      <c r="Z431" s="874"/>
      <c r="AA431" s="874"/>
      <c r="AD431" s="526"/>
      <c r="AE431" s="526"/>
      <c r="AF431" s="526"/>
      <c r="AG431" s="526"/>
      <c r="AH431" s="526"/>
      <c r="AI431" s="526"/>
      <c r="AJ431" s="526"/>
      <c r="AK431" s="526"/>
      <c r="AL431" s="526"/>
      <c r="AM431" s="526"/>
      <c r="AN431" s="526"/>
      <c r="AO431" s="526"/>
      <c r="AP431" s="526"/>
      <c r="AQ431" s="526"/>
      <c r="AR431" s="526"/>
      <c r="AS431" s="526"/>
      <c r="AT431" s="526"/>
      <c r="AU431" s="526"/>
      <c r="AV431" s="526"/>
      <c r="AW431" s="526"/>
      <c r="AX431" s="526"/>
      <c r="AY431" s="526"/>
      <c r="AZ431" s="526"/>
      <c r="BA431" s="526"/>
      <c r="BB431" s="526"/>
      <c r="BC431" s="526"/>
      <c r="BD431" s="526"/>
      <c r="BE431" s="526"/>
      <c r="BF431" s="526"/>
      <c r="BG431" s="526"/>
    </row>
    <row r="432" spans="1:59" s="830" customFormat="1" ht="17.25" customHeight="1" x14ac:dyDescent="0.25">
      <c r="A432" s="865"/>
      <c r="B432" s="865"/>
      <c r="C432" s="908"/>
      <c r="G432" s="865"/>
      <c r="H432" s="874"/>
      <c r="I432" s="869"/>
      <c r="J432" s="869"/>
      <c r="K432" s="869"/>
      <c r="L432" s="869"/>
      <c r="M432" s="874"/>
      <c r="O432" s="874"/>
      <c r="P432" s="874"/>
      <c r="Q432" s="874"/>
      <c r="R432" s="874"/>
      <c r="S432" s="874"/>
      <c r="T432" s="874"/>
      <c r="W432" s="874"/>
      <c r="X432" s="874"/>
      <c r="Y432" s="874"/>
      <c r="Z432" s="874"/>
      <c r="AA432" s="874"/>
      <c r="AD432" s="526"/>
      <c r="AE432" s="526"/>
      <c r="AF432" s="526"/>
      <c r="AG432" s="526"/>
      <c r="AH432" s="526"/>
      <c r="AI432" s="526"/>
      <c r="AJ432" s="526"/>
      <c r="AK432" s="526"/>
      <c r="AL432" s="526"/>
      <c r="AM432" s="526"/>
      <c r="AN432" s="526"/>
      <c r="AO432" s="526"/>
      <c r="AP432" s="526"/>
      <c r="AQ432" s="526"/>
      <c r="AR432" s="526"/>
      <c r="AS432" s="526"/>
      <c r="AT432" s="526"/>
      <c r="AU432" s="526"/>
      <c r="AV432" s="526"/>
      <c r="AW432" s="526"/>
      <c r="AX432" s="526"/>
      <c r="AY432" s="526"/>
      <c r="AZ432" s="526"/>
      <c r="BA432" s="526"/>
      <c r="BB432" s="526"/>
      <c r="BC432" s="526"/>
      <c r="BD432" s="526"/>
      <c r="BE432" s="526"/>
      <c r="BF432" s="526"/>
      <c r="BG432" s="526"/>
    </row>
    <row r="433" spans="1:59" s="830" customFormat="1" ht="17.25" customHeight="1" x14ac:dyDescent="0.25">
      <c r="A433" s="865"/>
      <c r="B433" s="865"/>
      <c r="C433" s="908"/>
      <c r="G433" s="865"/>
      <c r="H433" s="874"/>
      <c r="I433" s="869"/>
      <c r="J433" s="869"/>
      <c r="K433" s="869"/>
      <c r="L433" s="869"/>
      <c r="M433" s="874"/>
      <c r="O433" s="874"/>
      <c r="P433" s="874"/>
      <c r="Q433" s="874"/>
      <c r="R433" s="874"/>
      <c r="S433" s="874"/>
      <c r="T433" s="874"/>
      <c r="W433" s="874"/>
      <c r="X433" s="874"/>
      <c r="Y433" s="874"/>
      <c r="Z433" s="874"/>
      <c r="AA433" s="874"/>
      <c r="AD433" s="526"/>
      <c r="AE433" s="526"/>
      <c r="AF433" s="526"/>
      <c r="AG433" s="526"/>
      <c r="AH433" s="526"/>
      <c r="AI433" s="526"/>
      <c r="AJ433" s="526"/>
      <c r="AK433" s="526"/>
      <c r="AL433" s="526"/>
      <c r="AM433" s="526"/>
      <c r="AN433" s="526"/>
      <c r="AO433" s="526"/>
      <c r="AP433" s="526"/>
      <c r="AQ433" s="526"/>
      <c r="AR433" s="526"/>
      <c r="AS433" s="526"/>
      <c r="AT433" s="526"/>
      <c r="AU433" s="526"/>
      <c r="AV433" s="526"/>
      <c r="AW433" s="526"/>
      <c r="AX433" s="526"/>
      <c r="AY433" s="526"/>
      <c r="AZ433" s="526"/>
      <c r="BA433" s="526"/>
      <c r="BB433" s="526"/>
      <c r="BC433" s="526"/>
      <c r="BD433" s="526"/>
      <c r="BE433" s="526"/>
      <c r="BF433" s="526"/>
      <c r="BG433" s="526"/>
    </row>
    <row r="434" spans="1:59" s="830" customFormat="1" ht="17.25" customHeight="1" x14ac:dyDescent="0.25">
      <c r="A434" s="865"/>
      <c r="B434" s="865"/>
      <c r="C434" s="908"/>
      <c r="G434" s="865"/>
      <c r="H434" s="874"/>
      <c r="I434" s="869"/>
      <c r="J434" s="869"/>
      <c r="K434" s="869"/>
      <c r="L434" s="869"/>
      <c r="M434" s="874"/>
      <c r="O434" s="874"/>
      <c r="P434" s="874"/>
      <c r="Q434" s="874"/>
      <c r="R434" s="874"/>
      <c r="S434" s="874"/>
      <c r="T434" s="874"/>
      <c r="W434" s="874"/>
      <c r="X434" s="874"/>
      <c r="Y434" s="874"/>
      <c r="Z434" s="874"/>
      <c r="AA434" s="874"/>
      <c r="AD434" s="526"/>
      <c r="AE434" s="526"/>
      <c r="AF434" s="526"/>
      <c r="AG434" s="526"/>
      <c r="AH434" s="526"/>
      <c r="AI434" s="526"/>
      <c r="AJ434" s="526"/>
      <c r="AK434" s="526"/>
      <c r="AL434" s="526"/>
      <c r="AM434" s="526"/>
      <c r="AN434" s="526"/>
      <c r="AO434" s="526"/>
      <c r="AP434" s="526"/>
      <c r="AQ434" s="526"/>
      <c r="AR434" s="526"/>
      <c r="AS434" s="526"/>
      <c r="AT434" s="526"/>
      <c r="AU434" s="526"/>
      <c r="AV434" s="526"/>
      <c r="AW434" s="526"/>
      <c r="AX434" s="526"/>
      <c r="AY434" s="526"/>
      <c r="AZ434" s="526"/>
      <c r="BA434" s="526"/>
      <c r="BB434" s="526"/>
      <c r="BC434" s="526"/>
      <c r="BD434" s="526"/>
      <c r="BE434" s="526"/>
      <c r="BF434" s="526"/>
      <c r="BG434" s="526"/>
    </row>
    <row r="435" spans="1:59" s="830" customFormat="1" ht="17.25" customHeight="1" x14ac:dyDescent="0.25">
      <c r="A435" s="865"/>
      <c r="B435" s="865"/>
      <c r="C435" s="908"/>
      <c r="G435" s="865"/>
      <c r="H435" s="874"/>
      <c r="I435" s="869"/>
      <c r="J435" s="869"/>
      <c r="K435" s="869"/>
      <c r="L435" s="869"/>
      <c r="M435" s="874"/>
      <c r="O435" s="874"/>
      <c r="P435" s="874"/>
      <c r="Q435" s="874"/>
      <c r="R435" s="874"/>
      <c r="S435" s="874"/>
      <c r="T435" s="874"/>
      <c r="W435" s="874"/>
      <c r="X435" s="874"/>
      <c r="Y435" s="874"/>
      <c r="Z435" s="874"/>
      <c r="AA435" s="874"/>
      <c r="AD435" s="526"/>
      <c r="AE435" s="526"/>
      <c r="AF435" s="526"/>
      <c r="AG435" s="526"/>
      <c r="AH435" s="526"/>
      <c r="AI435" s="526"/>
      <c r="AJ435" s="526"/>
      <c r="AK435" s="526"/>
      <c r="AL435" s="526"/>
      <c r="AM435" s="526"/>
      <c r="AN435" s="526"/>
      <c r="AO435" s="526"/>
      <c r="AP435" s="526"/>
      <c r="AQ435" s="526"/>
      <c r="AR435" s="526"/>
      <c r="AS435" s="526"/>
      <c r="AT435" s="526"/>
      <c r="AU435" s="526"/>
      <c r="AV435" s="526"/>
      <c r="AW435" s="526"/>
      <c r="AX435" s="526"/>
      <c r="AY435" s="526"/>
      <c r="AZ435" s="526"/>
      <c r="BA435" s="526"/>
      <c r="BB435" s="526"/>
      <c r="BC435" s="526"/>
      <c r="BD435" s="526"/>
      <c r="BE435" s="526"/>
      <c r="BF435" s="526"/>
      <c r="BG435" s="526"/>
    </row>
    <row r="436" spans="1:59" s="830" customFormat="1" ht="17.25" customHeight="1" x14ac:dyDescent="0.25">
      <c r="A436" s="865"/>
      <c r="B436" s="865"/>
      <c r="C436" s="908"/>
      <c r="G436" s="865"/>
      <c r="H436" s="874"/>
      <c r="I436" s="869"/>
      <c r="J436" s="869"/>
      <c r="K436" s="869"/>
      <c r="L436" s="869"/>
      <c r="M436" s="874"/>
      <c r="O436" s="874"/>
      <c r="P436" s="874"/>
      <c r="Q436" s="874"/>
      <c r="R436" s="874"/>
      <c r="S436" s="874"/>
      <c r="T436" s="874"/>
      <c r="W436" s="874"/>
      <c r="X436" s="874"/>
      <c r="Y436" s="874"/>
      <c r="Z436" s="874"/>
      <c r="AA436" s="874"/>
      <c r="AD436" s="526"/>
      <c r="AE436" s="526"/>
      <c r="AF436" s="526"/>
      <c r="AG436" s="526"/>
      <c r="AH436" s="526"/>
      <c r="AI436" s="526"/>
      <c r="AJ436" s="526"/>
      <c r="AK436" s="526"/>
      <c r="AL436" s="526"/>
      <c r="AM436" s="526"/>
      <c r="AN436" s="526"/>
      <c r="AO436" s="526"/>
      <c r="AP436" s="526"/>
      <c r="AQ436" s="526"/>
      <c r="AR436" s="526"/>
      <c r="AS436" s="526"/>
      <c r="AT436" s="526"/>
      <c r="AU436" s="526"/>
      <c r="AV436" s="526"/>
      <c r="AW436" s="526"/>
      <c r="AX436" s="526"/>
      <c r="AY436" s="526"/>
      <c r="AZ436" s="526"/>
      <c r="BA436" s="526"/>
      <c r="BB436" s="526"/>
      <c r="BC436" s="526"/>
      <c r="BD436" s="526"/>
      <c r="BE436" s="526"/>
      <c r="BF436" s="526"/>
      <c r="BG436" s="526"/>
    </row>
    <row r="437" spans="1:59" s="830" customFormat="1" ht="17.25" customHeight="1" x14ac:dyDescent="0.25">
      <c r="A437" s="865"/>
      <c r="B437" s="865"/>
      <c r="C437" s="908"/>
      <c r="G437" s="865"/>
      <c r="H437" s="874"/>
      <c r="I437" s="869"/>
      <c r="J437" s="869"/>
      <c r="K437" s="869"/>
      <c r="L437" s="869"/>
      <c r="M437" s="874"/>
      <c r="O437" s="874"/>
      <c r="P437" s="874"/>
      <c r="Q437" s="874"/>
      <c r="R437" s="874"/>
      <c r="S437" s="874"/>
      <c r="T437" s="874"/>
      <c r="W437" s="874"/>
      <c r="X437" s="874"/>
      <c r="Y437" s="874"/>
      <c r="Z437" s="874"/>
      <c r="AA437" s="874"/>
      <c r="AD437" s="526"/>
      <c r="AE437" s="526"/>
      <c r="AF437" s="526"/>
      <c r="AG437" s="526"/>
      <c r="AH437" s="526"/>
      <c r="AI437" s="526"/>
      <c r="AJ437" s="526"/>
      <c r="AK437" s="526"/>
      <c r="AL437" s="526"/>
      <c r="AM437" s="526"/>
      <c r="AN437" s="526"/>
      <c r="AO437" s="526"/>
      <c r="AP437" s="526"/>
      <c r="AQ437" s="526"/>
      <c r="AR437" s="526"/>
      <c r="AS437" s="526"/>
      <c r="AT437" s="526"/>
      <c r="AU437" s="526"/>
      <c r="AV437" s="526"/>
      <c r="AW437" s="526"/>
      <c r="AX437" s="526"/>
      <c r="AY437" s="526"/>
      <c r="AZ437" s="526"/>
      <c r="BA437" s="526"/>
      <c r="BB437" s="526"/>
      <c r="BC437" s="526"/>
      <c r="BD437" s="526"/>
      <c r="BE437" s="526"/>
      <c r="BF437" s="526"/>
      <c r="BG437" s="526"/>
    </row>
    <row r="438" spans="1:59" s="830" customFormat="1" ht="17.25" customHeight="1" x14ac:dyDescent="0.25">
      <c r="A438" s="865"/>
      <c r="B438" s="865"/>
      <c r="C438" s="908"/>
      <c r="G438" s="865"/>
      <c r="H438" s="874"/>
      <c r="I438" s="869"/>
      <c r="J438" s="869"/>
      <c r="K438" s="869"/>
      <c r="L438" s="869"/>
      <c r="M438" s="874"/>
      <c r="O438" s="874"/>
      <c r="P438" s="874"/>
      <c r="Q438" s="874"/>
      <c r="R438" s="874"/>
      <c r="S438" s="874"/>
      <c r="T438" s="874"/>
      <c r="W438" s="874"/>
      <c r="X438" s="874"/>
      <c r="Y438" s="874"/>
      <c r="Z438" s="874"/>
      <c r="AA438" s="874"/>
      <c r="AD438" s="526"/>
      <c r="AE438" s="526"/>
      <c r="AF438" s="526"/>
      <c r="AG438" s="526"/>
      <c r="AH438" s="526"/>
      <c r="AI438" s="526"/>
      <c r="AJ438" s="526"/>
      <c r="AK438" s="526"/>
      <c r="AL438" s="526"/>
      <c r="AM438" s="526"/>
      <c r="AN438" s="526"/>
      <c r="AO438" s="526"/>
      <c r="AP438" s="526"/>
      <c r="AQ438" s="526"/>
      <c r="AR438" s="526"/>
      <c r="AS438" s="526"/>
      <c r="AT438" s="526"/>
      <c r="AU438" s="526"/>
      <c r="AV438" s="526"/>
      <c r="AW438" s="526"/>
      <c r="AX438" s="526"/>
      <c r="AY438" s="526"/>
      <c r="AZ438" s="526"/>
      <c r="BA438" s="526"/>
      <c r="BB438" s="526"/>
      <c r="BC438" s="526"/>
      <c r="BD438" s="526"/>
      <c r="BE438" s="526"/>
      <c r="BF438" s="526"/>
      <c r="BG438" s="526"/>
    </row>
    <row r="439" spans="1:59" s="830" customFormat="1" ht="17.25" customHeight="1" x14ac:dyDescent="0.25">
      <c r="A439" s="865"/>
      <c r="B439" s="865"/>
      <c r="C439" s="908"/>
      <c r="G439" s="865"/>
      <c r="H439" s="874"/>
      <c r="I439" s="869"/>
      <c r="J439" s="869"/>
      <c r="K439" s="869"/>
      <c r="L439" s="869"/>
      <c r="M439" s="874"/>
      <c r="O439" s="874"/>
      <c r="P439" s="874"/>
      <c r="Q439" s="874"/>
      <c r="R439" s="874"/>
      <c r="S439" s="874"/>
      <c r="T439" s="874"/>
      <c r="W439" s="874"/>
      <c r="X439" s="874"/>
      <c r="Y439" s="874"/>
      <c r="Z439" s="874"/>
      <c r="AA439" s="874"/>
      <c r="AD439" s="526"/>
      <c r="AE439" s="526"/>
      <c r="AF439" s="526"/>
      <c r="AG439" s="526"/>
      <c r="AH439" s="526"/>
      <c r="AI439" s="526"/>
      <c r="AJ439" s="526"/>
      <c r="AK439" s="526"/>
      <c r="AL439" s="526"/>
      <c r="AM439" s="526"/>
      <c r="AN439" s="526"/>
      <c r="AO439" s="526"/>
      <c r="AP439" s="526"/>
      <c r="AQ439" s="526"/>
      <c r="AR439" s="526"/>
      <c r="AS439" s="526"/>
      <c r="AT439" s="526"/>
      <c r="AU439" s="526"/>
      <c r="AV439" s="526"/>
      <c r="AW439" s="526"/>
      <c r="AX439" s="526"/>
      <c r="AY439" s="526"/>
      <c r="AZ439" s="526"/>
      <c r="BA439" s="526"/>
      <c r="BB439" s="526"/>
      <c r="BC439" s="526"/>
      <c r="BD439" s="526"/>
      <c r="BE439" s="526"/>
      <c r="BF439" s="526"/>
      <c r="BG439" s="526"/>
    </row>
    <row r="440" spans="1:59" s="830" customFormat="1" ht="17.25" customHeight="1" x14ac:dyDescent="0.25">
      <c r="A440" s="865"/>
      <c r="B440" s="865"/>
      <c r="C440" s="908"/>
      <c r="G440" s="865"/>
      <c r="H440" s="874"/>
      <c r="I440" s="869"/>
      <c r="J440" s="869"/>
      <c r="K440" s="869"/>
      <c r="L440" s="869"/>
      <c r="M440" s="874"/>
      <c r="O440" s="874"/>
      <c r="P440" s="874"/>
      <c r="Q440" s="874"/>
      <c r="R440" s="874"/>
      <c r="S440" s="874"/>
      <c r="T440" s="874"/>
      <c r="W440" s="874"/>
      <c r="X440" s="874"/>
      <c r="Y440" s="874"/>
      <c r="Z440" s="874"/>
      <c r="AA440" s="874"/>
      <c r="AD440" s="526"/>
      <c r="AE440" s="526"/>
      <c r="AF440" s="526"/>
      <c r="AG440" s="526"/>
      <c r="AH440" s="526"/>
      <c r="AI440" s="526"/>
      <c r="AJ440" s="526"/>
      <c r="AK440" s="526"/>
      <c r="AL440" s="526"/>
      <c r="AM440" s="526"/>
      <c r="AN440" s="526"/>
      <c r="AO440" s="526"/>
      <c r="AP440" s="526"/>
      <c r="AQ440" s="526"/>
      <c r="AR440" s="526"/>
      <c r="AS440" s="526"/>
      <c r="AT440" s="526"/>
      <c r="AU440" s="526"/>
      <c r="AV440" s="526"/>
      <c r="AW440" s="526"/>
      <c r="AX440" s="526"/>
      <c r="AY440" s="526"/>
      <c r="AZ440" s="526"/>
      <c r="BA440" s="526"/>
      <c r="BB440" s="526"/>
      <c r="BC440" s="526"/>
      <c r="BD440" s="526"/>
      <c r="BE440" s="526"/>
      <c r="BF440" s="526"/>
      <c r="BG440" s="526"/>
    </row>
    <row r="441" spans="1:59" s="830" customFormat="1" ht="17.25" customHeight="1" x14ac:dyDescent="0.25">
      <c r="A441" s="865"/>
      <c r="B441" s="865"/>
      <c r="C441" s="908"/>
      <c r="G441" s="865"/>
      <c r="H441" s="874"/>
      <c r="I441" s="869"/>
      <c r="J441" s="869"/>
      <c r="K441" s="869"/>
      <c r="L441" s="869"/>
      <c r="M441" s="874"/>
      <c r="O441" s="874"/>
      <c r="P441" s="874"/>
      <c r="Q441" s="874"/>
      <c r="R441" s="874"/>
      <c r="S441" s="874"/>
      <c r="T441" s="874"/>
      <c r="W441" s="874"/>
      <c r="X441" s="874"/>
      <c r="Y441" s="874"/>
      <c r="Z441" s="874"/>
      <c r="AA441" s="874"/>
      <c r="AD441" s="526"/>
      <c r="AE441" s="526"/>
      <c r="AF441" s="526"/>
      <c r="AG441" s="526"/>
      <c r="AH441" s="526"/>
      <c r="AI441" s="526"/>
      <c r="AJ441" s="526"/>
      <c r="AK441" s="526"/>
      <c r="AL441" s="526"/>
      <c r="AM441" s="526"/>
      <c r="AN441" s="526"/>
      <c r="AO441" s="526"/>
      <c r="AP441" s="526"/>
      <c r="AQ441" s="526"/>
      <c r="AR441" s="526"/>
      <c r="AS441" s="526"/>
      <c r="AT441" s="526"/>
      <c r="AU441" s="526"/>
      <c r="AV441" s="526"/>
      <c r="AW441" s="526"/>
      <c r="AX441" s="526"/>
      <c r="AY441" s="526"/>
      <c r="AZ441" s="526"/>
      <c r="BA441" s="526"/>
      <c r="BB441" s="526"/>
      <c r="BC441" s="526"/>
      <c r="BD441" s="526"/>
      <c r="BE441" s="526"/>
      <c r="BF441" s="526"/>
      <c r="BG441" s="526"/>
    </row>
    <row r="442" spans="1:59" s="830" customFormat="1" ht="17.25" customHeight="1" x14ac:dyDescent="0.25">
      <c r="A442" s="865"/>
      <c r="B442" s="865"/>
      <c r="C442" s="908"/>
      <c r="G442" s="865"/>
      <c r="H442" s="874"/>
      <c r="I442" s="869"/>
      <c r="J442" s="869"/>
      <c r="K442" s="869"/>
      <c r="L442" s="869"/>
      <c r="M442" s="874"/>
      <c r="O442" s="874"/>
      <c r="P442" s="874"/>
      <c r="Q442" s="874"/>
      <c r="R442" s="874"/>
      <c r="S442" s="874"/>
      <c r="T442" s="874"/>
      <c r="W442" s="874"/>
      <c r="X442" s="874"/>
      <c r="Y442" s="874"/>
      <c r="Z442" s="874"/>
      <c r="AA442" s="874"/>
      <c r="AD442" s="526"/>
      <c r="AE442" s="526"/>
      <c r="AF442" s="526"/>
      <c r="AG442" s="526"/>
      <c r="AH442" s="526"/>
      <c r="AI442" s="526"/>
      <c r="AJ442" s="526"/>
      <c r="AK442" s="526"/>
      <c r="AL442" s="526"/>
      <c r="AM442" s="526"/>
      <c r="AN442" s="526"/>
      <c r="AO442" s="526"/>
      <c r="AP442" s="526"/>
      <c r="AQ442" s="526"/>
      <c r="AR442" s="526"/>
      <c r="AS442" s="526"/>
      <c r="AT442" s="526"/>
      <c r="AU442" s="526"/>
      <c r="AV442" s="526"/>
      <c r="AW442" s="526"/>
      <c r="AX442" s="526"/>
      <c r="AY442" s="526"/>
      <c r="AZ442" s="526"/>
      <c r="BA442" s="526"/>
      <c r="BB442" s="526"/>
      <c r="BC442" s="526"/>
      <c r="BD442" s="526"/>
      <c r="BE442" s="526"/>
      <c r="BF442" s="526"/>
      <c r="BG442" s="526"/>
    </row>
    <row r="443" spans="1:59" s="830" customFormat="1" ht="17.25" customHeight="1" x14ac:dyDescent="0.25">
      <c r="A443" s="865"/>
      <c r="B443" s="865"/>
      <c r="C443" s="908"/>
      <c r="G443" s="865"/>
      <c r="H443" s="874"/>
      <c r="I443" s="869"/>
      <c r="J443" s="869"/>
      <c r="K443" s="869"/>
      <c r="L443" s="869"/>
      <c r="M443" s="874"/>
      <c r="O443" s="874"/>
      <c r="P443" s="874"/>
      <c r="Q443" s="874"/>
      <c r="R443" s="874"/>
      <c r="S443" s="874"/>
      <c r="T443" s="874"/>
      <c r="W443" s="874"/>
      <c r="X443" s="874"/>
      <c r="Y443" s="874"/>
      <c r="Z443" s="874"/>
      <c r="AA443" s="874"/>
      <c r="AD443" s="526"/>
      <c r="AE443" s="526"/>
      <c r="AF443" s="526"/>
      <c r="AG443" s="526"/>
      <c r="AH443" s="526"/>
      <c r="AI443" s="526"/>
      <c r="AJ443" s="526"/>
      <c r="AK443" s="526"/>
      <c r="AL443" s="526"/>
      <c r="AM443" s="526"/>
      <c r="AN443" s="526"/>
      <c r="AO443" s="526"/>
      <c r="AP443" s="526"/>
      <c r="AQ443" s="526"/>
      <c r="AR443" s="526"/>
      <c r="AS443" s="526"/>
      <c r="AT443" s="526"/>
      <c r="AU443" s="526"/>
      <c r="AV443" s="526"/>
      <c r="AW443" s="526"/>
      <c r="AX443" s="526"/>
      <c r="AY443" s="526"/>
      <c r="AZ443" s="526"/>
      <c r="BA443" s="526"/>
      <c r="BB443" s="526"/>
      <c r="BC443" s="526"/>
      <c r="BD443" s="526"/>
      <c r="BE443" s="526"/>
      <c r="BF443" s="526"/>
      <c r="BG443" s="526"/>
    </row>
    <row r="444" spans="1:59" s="830" customFormat="1" ht="17.25" customHeight="1" x14ac:dyDescent="0.25">
      <c r="A444" s="865"/>
      <c r="B444" s="865"/>
      <c r="C444" s="908"/>
      <c r="G444" s="865"/>
      <c r="H444" s="874"/>
      <c r="I444" s="869"/>
      <c r="J444" s="869"/>
      <c r="K444" s="869"/>
      <c r="L444" s="869"/>
      <c r="M444" s="874"/>
      <c r="O444" s="874"/>
      <c r="P444" s="874"/>
      <c r="Q444" s="874"/>
      <c r="R444" s="874"/>
      <c r="S444" s="874"/>
      <c r="T444" s="874"/>
      <c r="W444" s="874"/>
      <c r="X444" s="874"/>
      <c r="Y444" s="874"/>
      <c r="Z444" s="874"/>
      <c r="AA444" s="874"/>
      <c r="AD444" s="526"/>
      <c r="AE444" s="526"/>
      <c r="AF444" s="526"/>
      <c r="AG444" s="526"/>
      <c r="AH444" s="526"/>
      <c r="AI444" s="526"/>
      <c r="AJ444" s="526"/>
      <c r="AK444" s="526"/>
      <c r="AL444" s="526"/>
      <c r="AM444" s="526"/>
      <c r="AN444" s="526"/>
      <c r="AO444" s="526"/>
      <c r="AP444" s="526"/>
      <c r="AQ444" s="526"/>
      <c r="AR444" s="526"/>
      <c r="AS444" s="526"/>
      <c r="AT444" s="526"/>
      <c r="AU444" s="526"/>
      <c r="AV444" s="526"/>
      <c r="AW444" s="526"/>
      <c r="AX444" s="526"/>
      <c r="AY444" s="526"/>
      <c r="AZ444" s="526"/>
      <c r="BA444" s="526"/>
      <c r="BB444" s="526"/>
      <c r="BC444" s="526"/>
      <c r="BD444" s="526"/>
      <c r="BE444" s="526"/>
      <c r="BF444" s="526"/>
      <c r="BG444" s="526"/>
    </row>
    <row r="445" spans="1:59" s="830" customFormat="1" ht="17.25" customHeight="1" x14ac:dyDescent="0.25">
      <c r="A445" s="865"/>
      <c r="B445" s="865"/>
      <c r="C445" s="908"/>
      <c r="G445" s="865"/>
      <c r="H445" s="874"/>
      <c r="I445" s="869"/>
      <c r="J445" s="869"/>
      <c r="K445" s="869"/>
      <c r="L445" s="869"/>
      <c r="M445" s="874"/>
      <c r="O445" s="874"/>
      <c r="P445" s="874"/>
      <c r="Q445" s="874"/>
      <c r="R445" s="874"/>
      <c r="S445" s="874"/>
      <c r="T445" s="874"/>
      <c r="W445" s="874"/>
      <c r="X445" s="874"/>
      <c r="Y445" s="874"/>
      <c r="Z445" s="874"/>
      <c r="AA445" s="874"/>
      <c r="AD445" s="526"/>
      <c r="AE445" s="526"/>
      <c r="AF445" s="526"/>
      <c r="AG445" s="526"/>
      <c r="AH445" s="526"/>
      <c r="AI445" s="526"/>
      <c r="AJ445" s="526"/>
      <c r="AK445" s="526"/>
      <c r="AL445" s="526"/>
      <c r="AM445" s="526"/>
      <c r="AN445" s="526"/>
      <c r="AO445" s="526"/>
      <c r="AP445" s="526"/>
      <c r="AQ445" s="526"/>
      <c r="AR445" s="526"/>
      <c r="AS445" s="526"/>
      <c r="AT445" s="526"/>
      <c r="AU445" s="526"/>
      <c r="AV445" s="526"/>
      <c r="AW445" s="526"/>
      <c r="AX445" s="526"/>
      <c r="AY445" s="526"/>
      <c r="AZ445" s="526"/>
      <c r="BA445" s="526"/>
      <c r="BB445" s="526"/>
      <c r="BC445" s="526"/>
      <c r="BD445" s="526"/>
      <c r="BE445" s="526"/>
      <c r="BF445" s="526"/>
      <c r="BG445" s="526"/>
    </row>
    <row r="446" spans="1:59" s="830" customFormat="1" ht="17.25" customHeight="1" x14ac:dyDescent="0.25">
      <c r="A446" s="865"/>
      <c r="B446" s="865"/>
      <c r="C446" s="908"/>
      <c r="G446" s="865"/>
      <c r="H446" s="874"/>
      <c r="I446" s="869"/>
      <c r="J446" s="869"/>
      <c r="K446" s="869"/>
      <c r="L446" s="869"/>
      <c r="M446" s="874"/>
      <c r="O446" s="874"/>
      <c r="P446" s="874"/>
      <c r="Q446" s="874"/>
      <c r="R446" s="874"/>
      <c r="S446" s="874"/>
      <c r="T446" s="874"/>
      <c r="W446" s="874"/>
      <c r="X446" s="874"/>
      <c r="Y446" s="874"/>
      <c r="Z446" s="874"/>
      <c r="AA446" s="874"/>
      <c r="AD446" s="526"/>
      <c r="AE446" s="526"/>
      <c r="AF446" s="526"/>
      <c r="AG446" s="526"/>
      <c r="AH446" s="526"/>
      <c r="AI446" s="526"/>
      <c r="AJ446" s="526"/>
      <c r="AK446" s="526"/>
      <c r="AL446" s="526"/>
      <c r="AM446" s="526"/>
      <c r="AN446" s="526"/>
      <c r="AO446" s="526"/>
      <c r="AP446" s="526"/>
      <c r="AQ446" s="526"/>
      <c r="AR446" s="526"/>
      <c r="AS446" s="526"/>
      <c r="AT446" s="526"/>
      <c r="AU446" s="526"/>
      <c r="AV446" s="526"/>
      <c r="AW446" s="526"/>
      <c r="AX446" s="526"/>
      <c r="AY446" s="526"/>
      <c r="AZ446" s="526"/>
      <c r="BA446" s="526"/>
      <c r="BB446" s="526"/>
      <c r="BC446" s="526"/>
      <c r="BD446" s="526"/>
      <c r="BE446" s="526"/>
      <c r="BF446" s="526"/>
      <c r="BG446" s="526"/>
    </row>
    <row r="447" spans="1:59" s="830" customFormat="1" ht="17.25" customHeight="1" x14ac:dyDescent="0.25">
      <c r="A447" s="865"/>
      <c r="B447" s="865"/>
      <c r="C447" s="908"/>
      <c r="G447" s="865"/>
      <c r="H447" s="874"/>
      <c r="I447" s="869"/>
      <c r="J447" s="869"/>
      <c r="K447" s="869"/>
      <c r="L447" s="869"/>
      <c r="M447" s="874"/>
      <c r="O447" s="874"/>
      <c r="P447" s="874"/>
      <c r="Q447" s="874"/>
      <c r="R447" s="874"/>
      <c r="S447" s="874"/>
      <c r="T447" s="874"/>
      <c r="W447" s="874"/>
      <c r="X447" s="874"/>
      <c r="Y447" s="874"/>
      <c r="Z447" s="874"/>
      <c r="AA447" s="874"/>
      <c r="AD447" s="526"/>
      <c r="AE447" s="526"/>
      <c r="AF447" s="526"/>
      <c r="AG447" s="526"/>
      <c r="AH447" s="526"/>
      <c r="AI447" s="526"/>
      <c r="AJ447" s="526"/>
      <c r="AK447" s="526"/>
      <c r="AL447" s="526"/>
      <c r="AM447" s="526"/>
      <c r="AN447" s="526"/>
      <c r="AO447" s="526"/>
      <c r="AP447" s="526"/>
      <c r="AQ447" s="526"/>
      <c r="AR447" s="526"/>
      <c r="AS447" s="526"/>
      <c r="AT447" s="526"/>
      <c r="AU447" s="526"/>
      <c r="AV447" s="526"/>
      <c r="AW447" s="526"/>
      <c r="AX447" s="526"/>
      <c r="AY447" s="526"/>
      <c r="AZ447" s="526"/>
      <c r="BA447" s="526"/>
      <c r="BB447" s="526"/>
      <c r="BC447" s="526"/>
      <c r="BD447" s="526"/>
      <c r="BE447" s="526"/>
      <c r="BF447" s="526"/>
      <c r="BG447" s="526"/>
    </row>
    <row r="448" spans="1:59" s="830" customFormat="1" ht="17.25" customHeight="1" x14ac:dyDescent="0.25">
      <c r="A448" s="865"/>
      <c r="B448" s="865"/>
      <c r="C448" s="908"/>
      <c r="G448" s="865"/>
      <c r="H448" s="874"/>
      <c r="I448" s="869"/>
      <c r="J448" s="869"/>
      <c r="K448" s="869"/>
      <c r="L448" s="869"/>
      <c r="M448" s="874"/>
      <c r="O448" s="874"/>
      <c r="P448" s="874"/>
      <c r="Q448" s="874"/>
      <c r="R448" s="874"/>
      <c r="S448" s="874"/>
      <c r="T448" s="874"/>
      <c r="W448" s="874"/>
      <c r="X448" s="874"/>
      <c r="Y448" s="874"/>
      <c r="Z448" s="874"/>
      <c r="AA448" s="874"/>
      <c r="AD448" s="526"/>
      <c r="AE448" s="526"/>
      <c r="AF448" s="526"/>
      <c r="AG448" s="526"/>
      <c r="AH448" s="526"/>
      <c r="AI448" s="526"/>
      <c r="AJ448" s="526"/>
      <c r="AK448" s="526"/>
      <c r="AL448" s="526"/>
      <c r="AM448" s="526"/>
      <c r="AN448" s="526"/>
      <c r="AO448" s="526"/>
      <c r="AP448" s="526"/>
      <c r="AQ448" s="526"/>
      <c r="AR448" s="526"/>
      <c r="AS448" s="526"/>
      <c r="AT448" s="526"/>
      <c r="AU448" s="526"/>
      <c r="AV448" s="526"/>
      <c r="AW448" s="526"/>
      <c r="AX448" s="526"/>
      <c r="AY448" s="526"/>
      <c r="AZ448" s="526"/>
      <c r="BA448" s="526"/>
      <c r="BB448" s="526"/>
      <c r="BC448" s="526"/>
      <c r="BD448" s="526"/>
      <c r="BE448" s="526"/>
      <c r="BF448" s="526"/>
      <c r="BG448" s="526"/>
    </row>
    <row r="449" spans="1:59" s="830" customFormat="1" ht="17.25" customHeight="1" x14ac:dyDescent="0.25">
      <c r="A449" s="865"/>
      <c r="B449" s="865"/>
      <c r="C449" s="908"/>
      <c r="G449" s="865"/>
      <c r="H449" s="874"/>
      <c r="I449" s="869"/>
      <c r="J449" s="869"/>
      <c r="K449" s="869"/>
      <c r="L449" s="869"/>
      <c r="M449" s="874"/>
      <c r="O449" s="874"/>
      <c r="P449" s="874"/>
      <c r="Q449" s="874"/>
      <c r="R449" s="874"/>
      <c r="S449" s="874"/>
      <c r="T449" s="874"/>
      <c r="W449" s="874"/>
      <c r="X449" s="874"/>
      <c r="Y449" s="874"/>
      <c r="Z449" s="874"/>
      <c r="AA449" s="874"/>
      <c r="AD449" s="526"/>
      <c r="AE449" s="526"/>
      <c r="AF449" s="526"/>
      <c r="AG449" s="526"/>
      <c r="AH449" s="526"/>
      <c r="AI449" s="526"/>
      <c r="AJ449" s="526"/>
      <c r="AK449" s="526"/>
      <c r="AL449" s="526"/>
      <c r="AM449" s="526"/>
      <c r="AN449" s="526"/>
      <c r="AO449" s="526"/>
      <c r="AP449" s="526"/>
      <c r="AQ449" s="526"/>
      <c r="AR449" s="526"/>
      <c r="AS449" s="526"/>
      <c r="AT449" s="526"/>
      <c r="AU449" s="526"/>
      <c r="AV449" s="526"/>
      <c r="AW449" s="526"/>
      <c r="AX449" s="526"/>
      <c r="AY449" s="526"/>
      <c r="AZ449" s="526"/>
      <c r="BA449" s="526"/>
      <c r="BB449" s="526"/>
      <c r="BC449" s="526"/>
      <c r="BD449" s="526"/>
      <c r="BE449" s="526"/>
      <c r="BF449" s="526"/>
      <c r="BG449" s="526"/>
    </row>
    <row r="450" spans="1:59" s="830" customFormat="1" ht="17.25" customHeight="1" x14ac:dyDescent="0.25">
      <c r="A450" s="865"/>
      <c r="B450" s="865"/>
      <c r="C450" s="908"/>
      <c r="G450" s="865"/>
      <c r="H450" s="874"/>
      <c r="I450" s="869"/>
      <c r="J450" s="869"/>
      <c r="K450" s="869"/>
      <c r="L450" s="869"/>
      <c r="M450" s="874"/>
      <c r="O450" s="874"/>
      <c r="P450" s="874"/>
      <c r="Q450" s="874"/>
      <c r="R450" s="874"/>
      <c r="S450" s="874"/>
      <c r="T450" s="874"/>
      <c r="W450" s="874"/>
      <c r="X450" s="874"/>
      <c r="Y450" s="874"/>
      <c r="Z450" s="874"/>
      <c r="AA450" s="874"/>
      <c r="AD450" s="526"/>
      <c r="AE450" s="526"/>
      <c r="AF450" s="526"/>
      <c r="AG450" s="526"/>
      <c r="AH450" s="526"/>
      <c r="AI450" s="526"/>
      <c r="AJ450" s="526"/>
      <c r="AK450" s="526"/>
      <c r="AL450" s="526"/>
      <c r="AM450" s="526"/>
      <c r="AN450" s="526"/>
      <c r="AO450" s="526"/>
      <c r="AP450" s="526"/>
      <c r="AQ450" s="526"/>
      <c r="AR450" s="526"/>
      <c r="AS450" s="526"/>
      <c r="AT450" s="526"/>
      <c r="AU450" s="526"/>
      <c r="AV450" s="526"/>
      <c r="AW450" s="526"/>
      <c r="AX450" s="526"/>
      <c r="AY450" s="526"/>
      <c r="AZ450" s="526"/>
      <c r="BA450" s="526"/>
      <c r="BB450" s="526"/>
      <c r="BC450" s="526"/>
      <c r="BD450" s="526"/>
      <c r="BE450" s="526"/>
      <c r="BF450" s="526"/>
      <c r="BG450" s="526"/>
    </row>
    <row r="451" spans="1:59" s="830" customFormat="1" ht="17.25" customHeight="1" x14ac:dyDescent="0.25">
      <c r="A451" s="865"/>
      <c r="B451" s="865"/>
      <c r="C451" s="908"/>
      <c r="G451" s="865"/>
      <c r="H451" s="874"/>
      <c r="I451" s="869"/>
      <c r="J451" s="869"/>
      <c r="K451" s="869"/>
      <c r="L451" s="869"/>
      <c r="M451" s="874"/>
      <c r="O451" s="874"/>
      <c r="P451" s="874"/>
      <c r="Q451" s="874"/>
      <c r="R451" s="874"/>
      <c r="S451" s="874"/>
      <c r="T451" s="874"/>
      <c r="W451" s="874"/>
      <c r="X451" s="874"/>
      <c r="Y451" s="874"/>
      <c r="Z451" s="874"/>
      <c r="AA451" s="874"/>
      <c r="AD451" s="526"/>
      <c r="AE451" s="526"/>
      <c r="AF451" s="526"/>
      <c r="AG451" s="526"/>
      <c r="AH451" s="526"/>
      <c r="AI451" s="526"/>
      <c r="AJ451" s="526"/>
      <c r="AK451" s="526"/>
      <c r="AL451" s="526"/>
      <c r="AM451" s="526"/>
      <c r="AN451" s="526"/>
      <c r="AO451" s="526"/>
      <c r="AP451" s="526"/>
      <c r="AQ451" s="526"/>
      <c r="AR451" s="526"/>
      <c r="AS451" s="526"/>
      <c r="AT451" s="526"/>
      <c r="AU451" s="526"/>
      <c r="AV451" s="526"/>
      <c r="AW451" s="526"/>
      <c r="AX451" s="526"/>
      <c r="AY451" s="526"/>
      <c r="AZ451" s="526"/>
      <c r="BA451" s="526"/>
      <c r="BB451" s="526"/>
      <c r="BC451" s="526"/>
      <c r="BD451" s="526"/>
      <c r="BE451" s="526"/>
      <c r="BF451" s="526"/>
      <c r="BG451" s="526"/>
    </row>
    <row r="452" spans="1:59" s="830" customFormat="1" ht="17.25" customHeight="1" x14ac:dyDescent="0.25">
      <c r="A452" s="865"/>
      <c r="B452" s="865"/>
      <c r="C452" s="908"/>
      <c r="G452" s="865"/>
      <c r="H452" s="874"/>
      <c r="I452" s="869"/>
      <c r="J452" s="869"/>
      <c r="K452" s="869"/>
      <c r="L452" s="869"/>
      <c r="M452" s="874"/>
      <c r="O452" s="874"/>
      <c r="P452" s="874"/>
      <c r="Q452" s="874"/>
      <c r="R452" s="874"/>
      <c r="S452" s="874"/>
      <c r="T452" s="874"/>
      <c r="W452" s="874"/>
      <c r="X452" s="874"/>
      <c r="Y452" s="874"/>
      <c r="Z452" s="874"/>
      <c r="AA452" s="874"/>
      <c r="AD452" s="526"/>
      <c r="AE452" s="526"/>
      <c r="AF452" s="526"/>
      <c r="AG452" s="526"/>
      <c r="AH452" s="526"/>
      <c r="AI452" s="526"/>
      <c r="AJ452" s="526"/>
      <c r="AK452" s="526"/>
      <c r="AL452" s="526"/>
      <c r="AM452" s="526"/>
      <c r="AN452" s="526"/>
      <c r="AO452" s="526"/>
      <c r="AP452" s="526"/>
      <c r="AQ452" s="526"/>
      <c r="AR452" s="526"/>
      <c r="AS452" s="526"/>
      <c r="AT452" s="526"/>
      <c r="AU452" s="526"/>
      <c r="AV452" s="526"/>
      <c r="AW452" s="526"/>
      <c r="AX452" s="526"/>
      <c r="AY452" s="526"/>
      <c r="AZ452" s="526"/>
      <c r="BA452" s="526"/>
      <c r="BB452" s="526"/>
      <c r="BC452" s="526"/>
      <c r="BD452" s="526"/>
      <c r="BE452" s="526"/>
      <c r="BF452" s="526"/>
      <c r="BG452" s="526"/>
    </row>
    <row r="453" spans="1:59" s="830" customFormat="1" ht="17.25" customHeight="1" x14ac:dyDescent="0.25">
      <c r="A453" s="865"/>
      <c r="B453" s="865"/>
      <c r="C453" s="908"/>
      <c r="G453" s="865"/>
      <c r="H453" s="874"/>
      <c r="I453" s="869"/>
      <c r="J453" s="869"/>
      <c r="K453" s="869"/>
      <c r="L453" s="869"/>
      <c r="M453" s="874"/>
      <c r="O453" s="874"/>
      <c r="P453" s="874"/>
      <c r="Q453" s="874"/>
      <c r="R453" s="874"/>
      <c r="S453" s="874"/>
      <c r="T453" s="874"/>
      <c r="W453" s="874"/>
      <c r="X453" s="874"/>
      <c r="Y453" s="874"/>
      <c r="Z453" s="874"/>
      <c r="AA453" s="874"/>
      <c r="AD453" s="526"/>
      <c r="AE453" s="526"/>
      <c r="AF453" s="526"/>
      <c r="AG453" s="526"/>
      <c r="AH453" s="526"/>
      <c r="AI453" s="526"/>
      <c r="AJ453" s="526"/>
      <c r="AK453" s="526"/>
      <c r="AL453" s="526"/>
      <c r="AM453" s="526"/>
      <c r="AN453" s="526"/>
      <c r="AO453" s="526"/>
      <c r="AP453" s="526"/>
      <c r="AQ453" s="526"/>
      <c r="AR453" s="526"/>
      <c r="AS453" s="526"/>
      <c r="AT453" s="526"/>
      <c r="AU453" s="526"/>
      <c r="AV453" s="526"/>
      <c r="AW453" s="526"/>
      <c r="AX453" s="526"/>
      <c r="AY453" s="526"/>
      <c r="AZ453" s="526"/>
      <c r="BA453" s="526"/>
      <c r="BB453" s="526"/>
      <c r="BC453" s="526"/>
      <c r="BD453" s="526"/>
      <c r="BE453" s="526"/>
      <c r="BF453" s="526"/>
      <c r="BG453" s="526"/>
    </row>
    <row r="454" spans="1:59" s="830" customFormat="1" ht="17.25" customHeight="1" x14ac:dyDescent="0.25">
      <c r="A454" s="865"/>
      <c r="B454" s="865"/>
      <c r="C454" s="908"/>
      <c r="G454" s="865"/>
      <c r="H454" s="874"/>
      <c r="I454" s="869"/>
      <c r="J454" s="869"/>
      <c r="K454" s="869"/>
      <c r="L454" s="869"/>
      <c r="M454" s="874"/>
      <c r="O454" s="874"/>
      <c r="P454" s="874"/>
      <c r="Q454" s="874"/>
      <c r="R454" s="874"/>
      <c r="S454" s="874"/>
      <c r="T454" s="874"/>
      <c r="W454" s="874"/>
      <c r="X454" s="874"/>
      <c r="Y454" s="874"/>
      <c r="Z454" s="874"/>
      <c r="AA454" s="874"/>
      <c r="AD454" s="526"/>
      <c r="AE454" s="526"/>
      <c r="AF454" s="526"/>
      <c r="AG454" s="526"/>
      <c r="AH454" s="526"/>
      <c r="AI454" s="526"/>
      <c r="AJ454" s="526"/>
      <c r="AK454" s="526"/>
      <c r="AL454" s="526"/>
      <c r="AM454" s="526"/>
      <c r="AN454" s="526"/>
      <c r="AO454" s="526"/>
      <c r="AP454" s="526"/>
      <c r="AQ454" s="526"/>
      <c r="AR454" s="526"/>
      <c r="AS454" s="526"/>
      <c r="AT454" s="526"/>
      <c r="AU454" s="526"/>
      <c r="AV454" s="526"/>
      <c r="AW454" s="526"/>
      <c r="AX454" s="526"/>
      <c r="AY454" s="526"/>
      <c r="AZ454" s="526"/>
      <c r="BA454" s="526"/>
      <c r="BB454" s="526"/>
      <c r="BC454" s="526"/>
      <c r="BD454" s="526"/>
      <c r="BE454" s="526"/>
      <c r="BF454" s="526"/>
      <c r="BG454" s="526"/>
    </row>
    <row r="455" spans="1:59" s="830" customFormat="1" ht="17.25" customHeight="1" x14ac:dyDescent="0.25">
      <c r="A455" s="865"/>
      <c r="B455" s="865"/>
      <c r="C455" s="908"/>
      <c r="G455" s="865"/>
      <c r="H455" s="874"/>
      <c r="I455" s="869"/>
      <c r="J455" s="869"/>
      <c r="K455" s="869"/>
      <c r="L455" s="869"/>
      <c r="M455" s="874"/>
      <c r="O455" s="874"/>
      <c r="P455" s="874"/>
      <c r="Q455" s="874"/>
      <c r="R455" s="874"/>
      <c r="S455" s="874"/>
      <c r="T455" s="874"/>
      <c r="W455" s="874"/>
      <c r="X455" s="874"/>
      <c r="Y455" s="874"/>
      <c r="Z455" s="874"/>
      <c r="AA455" s="874"/>
      <c r="AD455" s="526"/>
      <c r="AE455" s="526"/>
      <c r="AF455" s="526"/>
      <c r="AG455" s="526"/>
      <c r="AH455" s="526"/>
      <c r="AI455" s="526"/>
      <c r="AJ455" s="526"/>
      <c r="AK455" s="526"/>
      <c r="AL455" s="526"/>
      <c r="AM455" s="526"/>
      <c r="AN455" s="526"/>
      <c r="AO455" s="526"/>
      <c r="AP455" s="526"/>
      <c r="AQ455" s="526"/>
      <c r="AR455" s="526"/>
      <c r="AS455" s="526"/>
      <c r="AT455" s="526"/>
      <c r="AU455" s="526"/>
      <c r="AV455" s="526"/>
      <c r="AW455" s="526"/>
      <c r="AX455" s="526"/>
      <c r="AY455" s="526"/>
      <c r="AZ455" s="526"/>
      <c r="BA455" s="526"/>
      <c r="BB455" s="526"/>
      <c r="BC455" s="526"/>
      <c r="BD455" s="526"/>
      <c r="BE455" s="526"/>
      <c r="BF455" s="526"/>
      <c r="BG455" s="526"/>
    </row>
    <row r="456" spans="1:59" s="830" customFormat="1" ht="17.25" customHeight="1" x14ac:dyDescent="0.25">
      <c r="A456" s="865"/>
      <c r="B456" s="865"/>
      <c r="C456" s="908"/>
      <c r="G456" s="865"/>
      <c r="H456" s="874"/>
      <c r="I456" s="869"/>
      <c r="J456" s="869"/>
      <c r="K456" s="869"/>
      <c r="L456" s="869"/>
      <c r="M456" s="874"/>
      <c r="O456" s="874"/>
      <c r="P456" s="874"/>
      <c r="Q456" s="874"/>
      <c r="R456" s="874"/>
      <c r="S456" s="874"/>
      <c r="T456" s="874"/>
      <c r="W456" s="874"/>
      <c r="X456" s="874"/>
      <c r="Y456" s="874"/>
      <c r="Z456" s="874"/>
      <c r="AA456" s="874"/>
      <c r="AD456" s="526"/>
      <c r="AE456" s="526"/>
      <c r="AF456" s="526"/>
      <c r="AG456" s="526"/>
      <c r="AH456" s="526"/>
      <c r="AI456" s="526"/>
      <c r="AJ456" s="526"/>
      <c r="AK456" s="526"/>
      <c r="AL456" s="526"/>
      <c r="AM456" s="526"/>
      <c r="AN456" s="526"/>
      <c r="AO456" s="526"/>
      <c r="AP456" s="526"/>
      <c r="AQ456" s="526"/>
      <c r="AR456" s="526"/>
      <c r="AS456" s="526"/>
      <c r="AT456" s="526"/>
      <c r="AU456" s="526"/>
      <c r="AV456" s="526"/>
      <c r="AW456" s="526"/>
      <c r="AX456" s="526"/>
      <c r="AY456" s="526"/>
      <c r="AZ456" s="526"/>
      <c r="BA456" s="526"/>
      <c r="BB456" s="526"/>
      <c r="BC456" s="526"/>
      <c r="BD456" s="526"/>
      <c r="BE456" s="526"/>
      <c r="BF456" s="526"/>
      <c r="BG456" s="526"/>
    </row>
    <row r="457" spans="1:59" s="830" customFormat="1" ht="17.25" customHeight="1" x14ac:dyDescent="0.25">
      <c r="A457" s="865"/>
      <c r="B457" s="865"/>
      <c r="C457" s="908"/>
      <c r="G457" s="865"/>
      <c r="H457" s="874"/>
      <c r="I457" s="869"/>
      <c r="J457" s="869"/>
      <c r="K457" s="869"/>
      <c r="L457" s="869"/>
      <c r="M457" s="874"/>
      <c r="O457" s="874"/>
      <c r="P457" s="874"/>
      <c r="Q457" s="874"/>
      <c r="R457" s="874"/>
      <c r="S457" s="874"/>
      <c r="T457" s="874"/>
      <c r="W457" s="874"/>
      <c r="X457" s="874"/>
      <c r="Y457" s="874"/>
      <c r="Z457" s="874"/>
      <c r="AA457" s="874"/>
      <c r="AD457" s="526"/>
      <c r="AE457" s="526"/>
      <c r="AF457" s="526"/>
      <c r="AG457" s="526"/>
      <c r="AH457" s="526"/>
      <c r="AI457" s="526"/>
      <c r="AJ457" s="526"/>
      <c r="AK457" s="526"/>
      <c r="AL457" s="526"/>
      <c r="AM457" s="526"/>
      <c r="AN457" s="526"/>
      <c r="AO457" s="526"/>
      <c r="AP457" s="526"/>
      <c r="AQ457" s="526"/>
      <c r="AR457" s="526"/>
      <c r="AS457" s="526"/>
      <c r="AT457" s="526"/>
      <c r="AU457" s="526"/>
      <c r="AV457" s="526"/>
      <c r="AW457" s="526"/>
      <c r="AX457" s="526"/>
      <c r="AY457" s="526"/>
      <c r="AZ457" s="526"/>
      <c r="BA457" s="526"/>
      <c r="BB457" s="526"/>
      <c r="BC457" s="526"/>
      <c r="BD457" s="526"/>
      <c r="BE457" s="526"/>
      <c r="BF457" s="526"/>
      <c r="BG457" s="526"/>
    </row>
    <row r="458" spans="1:59" s="830" customFormat="1" ht="17.25" customHeight="1" x14ac:dyDescent="0.25">
      <c r="A458" s="865"/>
      <c r="B458" s="865"/>
      <c r="C458" s="908"/>
      <c r="G458" s="865"/>
      <c r="H458" s="874"/>
      <c r="I458" s="869"/>
      <c r="J458" s="869"/>
      <c r="K458" s="869"/>
      <c r="L458" s="869"/>
      <c r="M458" s="874"/>
      <c r="O458" s="874"/>
      <c r="P458" s="874"/>
      <c r="Q458" s="874"/>
      <c r="R458" s="874"/>
      <c r="S458" s="874"/>
      <c r="T458" s="874"/>
      <c r="W458" s="874"/>
      <c r="X458" s="874"/>
      <c r="Y458" s="874"/>
      <c r="Z458" s="874"/>
      <c r="AA458" s="874"/>
      <c r="AD458" s="526"/>
      <c r="AE458" s="526"/>
      <c r="AF458" s="526"/>
      <c r="AG458" s="526"/>
      <c r="AH458" s="526"/>
      <c r="AI458" s="526"/>
      <c r="AJ458" s="526"/>
      <c r="AK458" s="526"/>
      <c r="AL458" s="526"/>
      <c r="AM458" s="526"/>
      <c r="AN458" s="526"/>
      <c r="AO458" s="526"/>
      <c r="AP458" s="526"/>
      <c r="AQ458" s="526"/>
      <c r="AR458" s="526"/>
      <c r="AS458" s="526"/>
      <c r="AT458" s="526"/>
      <c r="AU458" s="526"/>
      <c r="AV458" s="526"/>
      <c r="AW458" s="526"/>
      <c r="AX458" s="526"/>
      <c r="AY458" s="526"/>
      <c r="AZ458" s="526"/>
      <c r="BA458" s="526"/>
      <c r="BB458" s="526"/>
      <c r="BC458" s="526"/>
      <c r="BD458" s="526"/>
      <c r="BE458" s="526"/>
      <c r="BF458" s="526"/>
      <c r="BG458" s="526"/>
    </row>
    <row r="459" spans="1:59" s="830" customFormat="1" ht="17.25" customHeight="1" x14ac:dyDescent="0.25">
      <c r="A459" s="865"/>
      <c r="B459" s="865"/>
      <c r="C459" s="908"/>
      <c r="G459" s="865"/>
      <c r="H459" s="874"/>
      <c r="I459" s="869"/>
      <c r="J459" s="869"/>
      <c r="K459" s="869"/>
      <c r="L459" s="869"/>
      <c r="M459" s="874"/>
      <c r="O459" s="874"/>
      <c r="P459" s="874"/>
      <c r="Q459" s="874"/>
      <c r="R459" s="874"/>
      <c r="S459" s="874"/>
      <c r="T459" s="874"/>
      <c r="W459" s="874"/>
      <c r="X459" s="874"/>
      <c r="Y459" s="874"/>
      <c r="Z459" s="874"/>
      <c r="AA459" s="874"/>
      <c r="AD459" s="526"/>
      <c r="AE459" s="526"/>
      <c r="AF459" s="526"/>
      <c r="AG459" s="526"/>
      <c r="AH459" s="526"/>
      <c r="AI459" s="526"/>
      <c r="AJ459" s="526"/>
      <c r="AK459" s="526"/>
      <c r="AL459" s="526"/>
      <c r="AM459" s="526"/>
      <c r="AN459" s="526"/>
      <c r="AO459" s="526"/>
      <c r="AP459" s="526"/>
      <c r="AQ459" s="526"/>
      <c r="AR459" s="526"/>
      <c r="AS459" s="526"/>
      <c r="AT459" s="526"/>
      <c r="AU459" s="526"/>
      <c r="AV459" s="526"/>
      <c r="AW459" s="526"/>
      <c r="AX459" s="526"/>
      <c r="AY459" s="526"/>
      <c r="AZ459" s="526"/>
      <c r="BA459" s="526"/>
      <c r="BB459" s="526"/>
      <c r="BC459" s="526"/>
      <c r="BD459" s="526"/>
      <c r="BE459" s="526"/>
      <c r="BF459" s="526"/>
      <c r="BG459" s="526"/>
    </row>
    <row r="460" spans="1:59" s="830" customFormat="1" ht="17.25" customHeight="1" x14ac:dyDescent="0.25">
      <c r="A460" s="865"/>
      <c r="B460" s="865"/>
      <c r="C460" s="908"/>
      <c r="G460" s="865"/>
      <c r="H460" s="874"/>
      <c r="I460" s="869"/>
      <c r="J460" s="869"/>
      <c r="K460" s="869"/>
      <c r="L460" s="869"/>
      <c r="M460" s="874"/>
      <c r="O460" s="874"/>
      <c r="P460" s="874"/>
      <c r="Q460" s="874"/>
      <c r="R460" s="874"/>
      <c r="S460" s="874"/>
      <c r="T460" s="874"/>
      <c r="W460" s="874"/>
      <c r="X460" s="874"/>
      <c r="Y460" s="874"/>
      <c r="Z460" s="874"/>
      <c r="AA460" s="874"/>
      <c r="AD460" s="526"/>
      <c r="AE460" s="526"/>
      <c r="AF460" s="526"/>
      <c r="AG460" s="526"/>
      <c r="AH460" s="526"/>
      <c r="AI460" s="526"/>
      <c r="AJ460" s="526"/>
      <c r="AK460" s="526"/>
      <c r="AL460" s="526"/>
      <c r="AM460" s="526"/>
      <c r="AN460" s="526"/>
      <c r="AO460" s="526"/>
      <c r="AP460" s="526"/>
      <c r="AQ460" s="526"/>
      <c r="AR460" s="526"/>
      <c r="AS460" s="526"/>
      <c r="AT460" s="526"/>
      <c r="AU460" s="526"/>
      <c r="AV460" s="526"/>
      <c r="AW460" s="526"/>
      <c r="AX460" s="526"/>
      <c r="AY460" s="526"/>
      <c r="AZ460" s="526"/>
      <c r="BA460" s="526"/>
      <c r="BB460" s="526"/>
      <c r="BC460" s="526"/>
      <c r="BD460" s="526"/>
      <c r="BE460" s="526"/>
      <c r="BF460" s="526"/>
      <c r="BG460" s="526"/>
    </row>
    <row r="461" spans="1:59" s="830" customFormat="1" ht="17.25" customHeight="1" x14ac:dyDescent="0.25">
      <c r="A461" s="865"/>
      <c r="B461" s="865"/>
      <c r="C461" s="908"/>
      <c r="G461" s="865"/>
      <c r="H461" s="874"/>
      <c r="I461" s="869"/>
      <c r="J461" s="869"/>
      <c r="K461" s="869"/>
      <c r="L461" s="869"/>
      <c r="M461" s="874"/>
      <c r="O461" s="874"/>
      <c r="P461" s="874"/>
      <c r="Q461" s="874"/>
      <c r="R461" s="874"/>
      <c r="S461" s="874"/>
      <c r="T461" s="874"/>
      <c r="W461" s="874"/>
      <c r="X461" s="874"/>
      <c r="Y461" s="874"/>
      <c r="Z461" s="874"/>
      <c r="AA461" s="874"/>
      <c r="AD461" s="526"/>
      <c r="AE461" s="526"/>
      <c r="AF461" s="526"/>
      <c r="AG461" s="526"/>
      <c r="AH461" s="526"/>
      <c r="AI461" s="526"/>
      <c r="AJ461" s="526"/>
      <c r="AK461" s="526"/>
      <c r="AL461" s="526"/>
      <c r="AM461" s="526"/>
      <c r="AN461" s="526"/>
      <c r="AO461" s="526"/>
      <c r="AP461" s="526"/>
      <c r="AQ461" s="526"/>
      <c r="AR461" s="526"/>
      <c r="AS461" s="526"/>
      <c r="AT461" s="526"/>
      <c r="AU461" s="526"/>
      <c r="AV461" s="526"/>
      <c r="AW461" s="526"/>
      <c r="AX461" s="526"/>
      <c r="AY461" s="526"/>
      <c r="AZ461" s="526"/>
      <c r="BA461" s="526"/>
      <c r="BB461" s="526"/>
      <c r="BC461" s="526"/>
      <c r="BD461" s="526"/>
      <c r="BE461" s="526"/>
      <c r="BF461" s="526"/>
      <c r="BG461" s="526"/>
    </row>
    <row r="462" spans="1:59" s="830" customFormat="1" ht="17.25" customHeight="1" x14ac:dyDescent="0.25">
      <c r="A462" s="865"/>
      <c r="B462" s="865"/>
      <c r="C462" s="908"/>
      <c r="G462" s="865"/>
      <c r="H462" s="874"/>
      <c r="I462" s="869"/>
      <c r="J462" s="869"/>
      <c r="K462" s="869"/>
      <c r="L462" s="869"/>
      <c r="M462" s="874"/>
      <c r="O462" s="874"/>
      <c r="P462" s="874"/>
      <c r="Q462" s="874"/>
      <c r="R462" s="874"/>
      <c r="S462" s="874"/>
      <c r="T462" s="874"/>
      <c r="W462" s="874"/>
      <c r="X462" s="874"/>
      <c r="Y462" s="874"/>
      <c r="Z462" s="874"/>
      <c r="AA462" s="874"/>
      <c r="AD462" s="526"/>
      <c r="AE462" s="526"/>
      <c r="AF462" s="526"/>
      <c r="AG462" s="526"/>
      <c r="AH462" s="526"/>
      <c r="AI462" s="526"/>
      <c r="AJ462" s="526"/>
      <c r="AK462" s="526"/>
      <c r="AL462" s="526"/>
      <c r="AM462" s="526"/>
      <c r="AN462" s="526"/>
      <c r="AO462" s="526"/>
      <c r="AP462" s="526"/>
      <c r="AQ462" s="526"/>
      <c r="AR462" s="526"/>
      <c r="AS462" s="526"/>
      <c r="AT462" s="526"/>
      <c r="AU462" s="526"/>
      <c r="AV462" s="526"/>
      <c r="AW462" s="526"/>
      <c r="AX462" s="526"/>
      <c r="AY462" s="526"/>
      <c r="AZ462" s="526"/>
      <c r="BA462" s="526"/>
      <c r="BB462" s="526"/>
      <c r="BC462" s="526"/>
      <c r="BD462" s="526"/>
      <c r="BE462" s="526"/>
      <c r="BF462" s="526"/>
      <c r="BG462" s="526"/>
    </row>
    <row r="463" spans="1:59" s="830" customFormat="1" ht="17.25" customHeight="1" x14ac:dyDescent="0.25">
      <c r="A463" s="865"/>
      <c r="B463" s="865"/>
      <c r="C463" s="908"/>
      <c r="G463" s="865"/>
      <c r="H463" s="874"/>
      <c r="I463" s="869"/>
      <c r="J463" s="869"/>
      <c r="K463" s="869"/>
      <c r="L463" s="869"/>
      <c r="M463" s="874"/>
      <c r="O463" s="874"/>
      <c r="P463" s="874"/>
      <c r="Q463" s="874"/>
      <c r="R463" s="874"/>
      <c r="S463" s="874"/>
      <c r="T463" s="874"/>
      <c r="W463" s="874"/>
      <c r="X463" s="874"/>
      <c r="Y463" s="874"/>
      <c r="Z463" s="874"/>
      <c r="AA463" s="874"/>
      <c r="AD463" s="526"/>
      <c r="AE463" s="526"/>
      <c r="AF463" s="526"/>
      <c r="AG463" s="526"/>
      <c r="AH463" s="526"/>
      <c r="AI463" s="526"/>
      <c r="AJ463" s="526"/>
      <c r="AK463" s="526"/>
      <c r="AL463" s="526"/>
      <c r="AM463" s="526"/>
      <c r="AN463" s="526"/>
      <c r="AO463" s="526"/>
      <c r="AP463" s="526"/>
      <c r="AQ463" s="526"/>
      <c r="AR463" s="526"/>
      <c r="AS463" s="526"/>
      <c r="AT463" s="526"/>
      <c r="AU463" s="526"/>
      <c r="AV463" s="526"/>
      <c r="AW463" s="526"/>
      <c r="AX463" s="526"/>
      <c r="AY463" s="526"/>
      <c r="AZ463" s="526"/>
      <c r="BA463" s="526"/>
      <c r="BB463" s="526"/>
      <c r="BC463" s="526"/>
      <c r="BD463" s="526"/>
      <c r="BE463" s="526"/>
      <c r="BF463" s="526"/>
      <c r="BG463" s="526"/>
    </row>
    <row r="464" spans="1:59" s="830" customFormat="1" ht="17.25" customHeight="1" x14ac:dyDescent="0.25">
      <c r="A464" s="865"/>
      <c r="B464" s="865"/>
      <c r="C464" s="908"/>
      <c r="G464" s="865"/>
      <c r="H464" s="874"/>
      <c r="I464" s="869"/>
      <c r="J464" s="869"/>
      <c r="K464" s="869"/>
      <c r="L464" s="869"/>
      <c r="M464" s="874"/>
      <c r="O464" s="874"/>
      <c r="P464" s="874"/>
      <c r="Q464" s="874"/>
      <c r="R464" s="874"/>
      <c r="S464" s="874"/>
      <c r="T464" s="874"/>
      <c r="W464" s="874"/>
      <c r="X464" s="874"/>
      <c r="Y464" s="874"/>
      <c r="Z464" s="874"/>
      <c r="AA464" s="874"/>
      <c r="AD464" s="526"/>
      <c r="AE464" s="526"/>
      <c r="AF464" s="526"/>
      <c r="AG464" s="526"/>
      <c r="AH464" s="526"/>
      <c r="AI464" s="526"/>
      <c r="AJ464" s="526"/>
      <c r="AK464" s="526"/>
      <c r="AL464" s="526"/>
      <c r="AM464" s="526"/>
      <c r="AN464" s="526"/>
      <c r="AO464" s="526"/>
      <c r="AP464" s="526"/>
      <c r="AQ464" s="526"/>
      <c r="AR464" s="526"/>
      <c r="AS464" s="526"/>
      <c r="AT464" s="526"/>
      <c r="AU464" s="526"/>
      <c r="AV464" s="526"/>
      <c r="AW464" s="526"/>
      <c r="AX464" s="526"/>
      <c r="AY464" s="526"/>
      <c r="AZ464" s="526"/>
      <c r="BA464" s="526"/>
      <c r="BB464" s="526"/>
      <c r="BC464" s="526"/>
      <c r="BD464" s="526"/>
      <c r="BE464" s="526"/>
      <c r="BF464" s="526"/>
      <c r="BG464" s="526"/>
    </row>
    <row r="465" spans="1:59" s="830" customFormat="1" ht="17.25" customHeight="1" x14ac:dyDescent="0.25">
      <c r="A465" s="865"/>
      <c r="B465" s="865"/>
      <c r="C465" s="908"/>
      <c r="G465" s="865"/>
      <c r="H465" s="874"/>
      <c r="I465" s="869"/>
      <c r="J465" s="869"/>
      <c r="K465" s="869"/>
      <c r="L465" s="869"/>
      <c r="M465" s="874"/>
      <c r="O465" s="874"/>
      <c r="P465" s="874"/>
      <c r="Q465" s="874"/>
      <c r="R465" s="874"/>
      <c r="S465" s="874"/>
      <c r="T465" s="874"/>
      <c r="W465" s="874"/>
      <c r="X465" s="874"/>
      <c r="Y465" s="874"/>
      <c r="Z465" s="874"/>
      <c r="AA465" s="874"/>
      <c r="AD465" s="526"/>
      <c r="AE465" s="526"/>
      <c r="AF465" s="526"/>
      <c r="AG465" s="526"/>
      <c r="AH465" s="526"/>
      <c r="AI465" s="526"/>
      <c r="AJ465" s="526"/>
      <c r="AK465" s="526"/>
      <c r="AL465" s="526"/>
      <c r="AM465" s="526"/>
      <c r="AN465" s="526"/>
      <c r="AO465" s="526"/>
      <c r="AP465" s="526"/>
      <c r="AQ465" s="526"/>
      <c r="AR465" s="526"/>
      <c r="AS465" s="526"/>
      <c r="AT465" s="526"/>
      <c r="AU465" s="526"/>
      <c r="AV465" s="526"/>
      <c r="AW465" s="526"/>
      <c r="AX465" s="526"/>
      <c r="AY465" s="526"/>
      <c r="AZ465" s="526"/>
      <c r="BA465" s="526"/>
      <c r="BB465" s="526"/>
      <c r="BC465" s="526"/>
      <c r="BD465" s="526"/>
      <c r="BE465" s="526"/>
      <c r="BF465" s="526"/>
      <c r="BG465" s="526"/>
    </row>
    <row r="466" spans="1:59" s="830" customFormat="1" ht="17.25" customHeight="1" x14ac:dyDescent="0.25">
      <c r="A466" s="865"/>
      <c r="B466" s="865"/>
      <c r="C466" s="908"/>
      <c r="G466" s="865"/>
      <c r="H466" s="874"/>
      <c r="I466" s="869"/>
      <c r="J466" s="869"/>
      <c r="K466" s="869"/>
      <c r="L466" s="869"/>
      <c r="M466" s="874"/>
      <c r="O466" s="874"/>
      <c r="P466" s="874"/>
      <c r="Q466" s="874"/>
      <c r="R466" s="874"/>
      <c r="S466" s="874"/>
      <c r="T466" s="874"/>
      <c r="W466" s="874"/>
      <c r="X466" s="874"/>
      <c r="Y466" s="874"/>
      <c r="Z466" s="874"/>
      <c r="AA466" s="874"/>
      <c r="AD466" s="526"/>
      <c r="AE466" s="526"/>
      <c r="AF466" s="526"/>
      <c r="AG466" s="526"/>
      <c r="AH466" s="526"/>
      <c r="AI466" s="526"/>
      <c r="AJ466" s="526"/>
      <c r="AK466" s="526"/>
      <c r="AL466" s="526"/>
      <c r="AM466" s="526"/>
      <c r="AN466" s="526"/>
      <c r="AO466" s="526"/>
      <c r="AP466" s="526"/>
      <c r="AQ466" s="526"/>
      <c r="AR466" s="526"/>
      <c r="AS466" s="526"/>
      <c r="AT466" s="526"/>
      <c r="AU466" s="526"/>
      <c r="AV466" s="526"/>
      <c r="AW466" s="526"/>
      <c r="AX466" s="526"/>
      <c r="AY466" s="526"/>
      <c r="AZ466" s="526"/>
      <c r="BA466" s="526"/>
      <c r="BB466" s="526"/>
      <c r="BC466" s="526"/>
      <c r="BD466" s="526"/>
      <c r="BE466" s="526"/>
      <c r="BF466" s="526"/>
      <c r="BG466" s="526"/>
    </row>
    <row r="467" spans="1:59" s="830" customFormat="1" ht="17.25" customHeight="1" x14ac:dyDescent="0.25">
      <c r="A467" s="865"/>
      <c r="B467" s="865"/>
      <c r="C467" s="908"/>
      <c r="G467" s="865"/>
      <c r="H467" s="874"/>
      <c r="I467" s="869"/>
      <c r="J467" s="869"/>
      <c r="K467" s="869"/>
      <c r="L467" s="869"/>
      <c r="M467" s="874"/>
      <c r="O467" s="874"/>
      <c r="P467" s="874"/>
      <c r="Q467" s="874"/>
      <c r="R467" s="874"/>
      <c r="S467" s="874"/>
      <c r="T467" s="874"/>
      <c r="W467" s="874"/>
      <c r="X467" s="874"/>
      <c r="Y467" s="874"/>
      <c r="Z467" s="874"/>
      <c r="AA467" s="874"/>
      <c r="AD467" s="526"/>
      <c r="AE467" s="526"/>
      <c r="AF467" s="526"/>
      <c r="AG467" s="526"/>
      <c r="AH467" s="526"/>
      <c r="AI467" s="526"/>
      <c r="AJ467" s="526"/>
      <c r="AK467" s="526"/>
      <c r="AL467" s="526"/>
      <c r="AM467" s="526"/>
      <c r="AN467" s="526"/>
      <c r="AO467" s="526"/>
      <c r="AP467" s="526"/>
      <c r="AQ467" s="526"/>
      <c r="AR467" s="526"/>
      <c r="AS467" s="526"/>
      <c r="AT467" s="526"/>
      <c r="AU467" s="526"/>
      <c r="AV467" s="526"/>
      <c r="AW467" s="526"/>
      <c r="AX467" s="526"/>
      <c r="AY467" s="526"/>
      <c r="AZ467" s="526"/>
      <c r="BA467" s="526"/>
      <c r="BB467" s="526"/>
      <c r="BC467" s="526"/>
      <c r="BD467" s="526"/>
      <c r="BE467" s="526"/>
      <c r="BF467" s="526"/>
      <c r="BG467" s="526"/>
    </row>
    <row r="468" spans="1:59" s="830" customFormat="1" ht="17.25" customHeight="1" x14ac:dyDescent="0.25">
      <c r="A468" s="865"/>
      <c r="B468" s="865"/>
      <c r="C468" s="908"/>
      <c r="G468" s="865"/>
      <c r="H468" s="874"/>
      <c r="I468" s="869"/>
      <c r="J468" s="869"/>
      <c r="K468" s="869"/>
      <c r="L468" s="869"/>
      <c r="M468" s="874"/>
      <c r="O468" s="874"/>
      <c r="P468" s="874"/>
      <c r="Q468" s="874"/>
      <c r="R468" s="874"/>
      <c r="S468" s="874"/>
      <c r="T468" s="874"/>
      <c r="W468" s="874"/>
      <c r="X468" s="874"/>
      <c r="Y468" s="874"/>
      <c r="Z468" s="874"/>
      <c r="AA468" s="874"/>
      <c r="AD468" s="526"/>
      <c r="AE468" s="526"/>
      <c r="AF468" s="526"/>
      <c r="AG468" s="526"/>
      <c r="AH468" s="526"/>
      <c r="AI468" s="526"/>
      <c r="AJ468" s="526"/>
      <c r="AK468" s="526"/>
      <c r="AL468" s="526"/>
      <c r="AM468" s="526"/>
      <c r="AN468" s="526"/>
      <c r="AO468" s="526"/>
      <c r="AP468" s="526"/>
      <c r="AQ468" s="526"/>
      <c r="AR468" s="526"/>
      <c r="AS468" s="526"/>
      <c r="AT468" s="526"/>
      <c r="AU468" s="526"/>
      <c r="AV468" s="526"/>
      <c r="AW468" s="526"/>
      <c r="AX468" s="526"/>
      <c r="AY468" s="526"/>
      <c r="AZ468" s="526"/>
      <c r="BA468" s="526"/>
      <c r="BB468" s="526"/>
      <c r="BC468" s="526"/>
      <c r="BD468" s="526"/>
      <c r="BE468" s="526"/>
      <c r="BF468" s="526"/>
      <c r="BG468" s="526"/>
    </row>
    <row r="469" spans="1:59" s="830" customFormat="1" ht="17.25" customHeight="1" x14ac:dyDescent="0.25">
      <c r="A469" s="865"/>
      <c r="B469" s="865"/>
      <c r="C469" s="908"/>
      <c r="G469" s="865"/>
      <c r="H469" s="874"/>
      <c r="I469" s="869"/>
      <c r="J469" s="869"/>
      <c r="K469" s="869"/>
      <c r="L469" s="869"/>
      <c r="M469" s="874"/>
      <c r="O469" s="874"/>
      <c r="P469" s="874"/>
      <c r="Q469" s="874"/>
      <c r="R469" s="874"/>
      <c r="S469" s="874"/>
      <c r="T469" s="874"/>
      <c r="W469" s="874"/>
      <c r="X469" s="874"/>
      <c r="Y469" s="874"/>
      <c r="Z469" s="874"/>
      <c r="AA469" s="874"/>
      <c r="AD469" s="526"/>
      <c r="AE469" s="526"/>
      <c r="AF469" s="526"/>
      <c r="AG469" s="526"/>
      <c r="AH469" s="526"/>
      <c r="AI469" s="526"/>
      <c r="AJ469" s="526"/>
      <c r="AK469" s="526"/>
      <c r="AL469" s="526"/>
      <c r="AM469" s="526"/>
      <c r="AN469" s="526"/>
      <c r="AO469" s="526"/>
      <c r="AP469" s="526"/>
      <c r="AQ469" s="526"/>
      <c r="AR469" s="526"/>
      <c r="AS469" s="526"/>
      <c r="AT469" s="526"/>
      <c r="AU469" s="526"/>
      <c r="AV469" s="526"/>
      <c r="AW469" s="526"/>
      <c r="AX469" s="526"/>
      <c r="AY469" s="526"/>
      <c r="AZ469" s="526"/>
      <c r="BA469" s="526"/>
      <c r="BB469" s="526"/>
      <c r="BC469" s="526"/>
      <c r="BD469" s="526"/>
      <c r="BE469" s="526"/>
      <c r="BF469" s="526"/>
      <c r="BG469" s="526"/>
    </row>
    <row r="470" spans="1:59" s="830" customFormat="1" ht="17.25" customHeight="1" x14ac:dyDescent="0.25">
      <c r="A470" s="865"/>
      <c r="B470" s="865"/>
      <c r="C470" s="908"/>
      <c r="G470" s="865"/>
      <c r="H470" s="874"/>
      <c r="I470" s="869"/>
      <c r="J470" s="869"/>
      <c r="K470" s="869"/>
      <c r="L470" s="869"/>
      <c r="M470" s="874"/>
      <c r="O470" s="874"/>
      <c r="P470" s="874"/>
      <c r="Q470" s="874"/>
      <c r="R470" s="874"/>
      <c r="S470" s="874"/>
      <c r="T470" s="874"/>
      <c r="W470" s="874"/>
      <c r="X470" s="874"/>
      <c r="Y470" s="874"/>
      <c r="Z470" s="874"/>
      <c r="AA470" s="874"/>
      <c r="AD470" s="526"/>
      <c r="AE470" s="526"/>
      <c r="AF470" s="526"/>
      <c r="AG470" s="526"/>
      <c r="AH470" s="526"/>
      <c r="AI470" s="526"/>
      <c r="AJ470" s="526"/>
      <c r="AK470" s="526"/>
      <c r="AL470" s="526"/>
      <c r="AM470" s="526"/>
      <c r="AN470" s="526"/>
      <c r="AO470" s="526"/>
      <c r="AP470" s="526"/>
      <c r="AQ470" s="526"/>
      <c r="AR470" s="526"/>
      <c r="AS470" s="526"/>
      <c r="AT470" s="526"/>
      <c r="AU470" s="526"/>
      <c r="AV470" s="526"/>
      <c r="AW470" s="526"/>
      <c r="AX470" s="526"/>
      <c r="AY470" s="526"/>
      <c r="AZ470" s="526"/>
      <c r="BA470" s="526"/>
      <c r="BB470" s="526"/>
      <c r="BC470" s="526"/>
      <c r="BD470" s="526"/>
      <c r="BE470" s="526"/>
      <c r="BF470" s="526"/>
      <c r="BG470" s="526"/>
    </row>
    <row r="471" spans="1:59" s="830" customFormat="1" ht="17.25" customHeight="1" x14ac:dyDescent="0.25">
      <c r="A471" s="865"/>
      <c r="B471" s="865"/>
      <c r="C471" s="908"/>
      <c r="G471" s="865"/>
      <c r="H471" s="874"/>
      <c r="I471" s="869"/>
      <c r="J471" s="869"/>
      <c r="K471" s="869"/>
      <c r="L471" s="869"/>
      <c r="M471" s="874"/>
      <c r="O471" s="874"/>
      <c r="P471" s="874"/>
      <c r="Q471" s="874"/>
      <c r="R471" s="874"/>
      <c r="S471" s="874"/>
      <c r="T471" s="874"/>
      <c r="W471" s="874"/>
      <c r="X471" s="874"/>
      <c r="Y471" s="874"/>
      <c r="Z471" s="874"/>
      <c r="AA471" s="874"/>
      <c r="AD471" s="526"/>
      <c r="AE471" s="526"/>
      <c r="AF471" s="526"/>
      <c r="AG471" s="526"/>
      <c r="AH471" s="526"/>
      <c r="AI471" s="526"/>
      <c r="AJ471" s="526"/>
      <c r="AK471" s="526"/>
      <c r="AL471" s="526"/>
      <c r="AM471" s="526"/>
      <c r="AN471" s="526"/>
      <c r="AO471" s="526"/>
      <c r="AP471" s="526"/>
      <c r="AQ471" s="526"/>
      <c r="AR471" s="526"/>
      <c r="AS471" s="526"/>
      <c r="AT471" s="526"/>
      <c r="AU471" s="526"/>
      <c r="AV471" s="526"/>
      <c r="AW471" s="526"/>
      <c r="AX471" s="526"/>
      <c r="AY471" s="526"/>
      <c r="AZ471" s="526"/>
      <c r="BA471" s="526"/>
      <c r="BB471" s="526"/>
      <c r="BC471" s="526"/>
      <c r="BD471" s="526"/>
      <c r="BE471" s="526"/>
      <c r="BF471" s="526"/>
      <c r="BG471" s="526"/>
    </row>
    <row r="472" spans="1:59" s="830" customFormat="1" ht="17.25" customHeight="1" x14ac:dyDescent="0.25">
      <c r="A472" s="865"/>
      <c r="B472" s="865"/>
      <c r="C472" s="908"/>
      <c r="G472" s="865"/>
      <c r="H472" s="874"/>
      <c r="I472" s="869"/>
      <c r="J472" s="869"/>
      <c r="K472" s="869"/>
      <c r="L472" s="869"/>
      <c r="M472" s="874"/>
      <c r="O472" s="874"/>
      <c r="P472" s="874"/>
      <c r="Q472" s="874"/>
      <c r="R472" s="874"/>
      <c r="S472" s="874"/>
      <c r="T472" s="874"/>
      <c r="W472" s="874"/>
      <c r="X472" s="874"/>
      <c r="Y472" s="874"/>
      <c r="Z472" s="874"/>
      <c r="AA472" s="874"/>
      <c r="AD472" s="526"/>
      <c r="AE472" s="526"/>
      <c r="AF472" s="526"/>
      <c r="AG472" s="526"/>
      <c r="AH472" s="526"/>
      <c r="AI472" s="526"/>
      <c r="AJ472" s="526"/>
      <c r="AK472" s="526"/>
      <c r="AL472" s="526"/>
      <c r="AM472" s="526"/>
      <c r="AN472" s="526"/>
      <c r="AO472" s="526"/>
      <c r="AP472" s="526"/>
      <c r="AQ472" s="526"/>
      <c r="AR472" s="526"/>
      <c r="AS472" s="526"/>
      <c r="AT472" s="526"/>
      <c r="AU472" s="526"/>
      <c r="AV472" s="526"/>
      <c r="AW472" s="526"/>
      <c r="AX472" s="526"/>
      <c r="AY472" s="526"/>
      <c r="AZ472" s="526"/>
      <c r="BA472" s="526"/>
      <c r="BB472" s="526"/>
      <c r="BC472" s="526"/>
      <c r="BD472" s="526"/>
      <c r="BE472" s="526"/>
      <c r="BF472" s="526"/>
      <c r="BG472" s="526"/>
    </row>
    <row r="473" spans="1:59" s="830" customFormat="1" ht="17.25" customHeight="1" x14ac:dyDescent="0.25">
      <c r="A473" s="865"/>
      <c r="B473" s="865"/>
      <c r="C473" s="908"/>
      <c r="G473" s="865"/>
      <c r="H473" s="874"/>
      <c r="I473" s="869"/>
      <c r="J473" s="869"/>
      <c r="K473" s="869"/>
      <c r="L473" s="869"/>
      <c r="M473" s="874"/>
      <c r="O473" s="874"/>
      <c r="P473" s="874"/>
      <c r="Q473" s="874"/>
      <c r="R473" s="874"/>
      <c r="S473" s="874"/>
      <c r="T473" s="874"/>
      <c r="W473" s="874"/>
      <c r="X473" s="874"/>
      <c r="Y473" s="874"/>
      <c r="Z473" s="874"/>
      <c r="AA473" s="874"/>
      <c r="AD473" s="526"/>
      <c r="AE473" s="526"/>
      <c r="AF473" s="526"/>
      <c r="AG473" s="526"/>
      <c r="AH473" s="526"/>
      <c r="AI473" s="526"/>
      <c r="AJ473" s="526"/>
      <c r="AK473" s="526"/>
      <c r="AL473" s="526"/>
      <c r="AM473" s="526"/>
      <c r="AN473" s="526"/>
      <c r="AO473" s="526"/>
      <c r="AP473" s="526"/>
      <c r="AQ473" s="526"/>
      <c r="AR473" s="526"/>
      <c r="AS473" s="526"/>
      <c r="AT473" s="526"/>
      <c r="AU473" s="526"/>
      <c r="AV473" s="526"/>
      <c r="AW473" s="526"/>
      <c r="AX473" s="526"/>
      <c r="AY473" s="526"/>
      <c r="AZ473" s="526"/>
      <c r="BA473" s="526"/>
      <c r="BB473" s="526"/>
      <c r="BC473" s="526"/>
      <c r="BD473" s="526"/>
      <c r="BE473" s="526"/>
      <c r="BF473" s="526"/>
      <c r="BG473" s="526"/>
    </row>
    <row r="474" spans="1:59" s="830" customFormat="1" ht="17.25" customHeight="1" x14ac:dyDescent="0.25">
      <c r="A474" s="865"/>
      <c r="B474" s="865"/>
      <c r="C474" s="908"/>
      <c r="G474" s="865"/>
      <c r="H474" s="874"/>
      <c r="I474" s="869"/>
      <c r="J474" s="869"/>
      <c r="K474" s="869"/>
      <c r="L474" s="869"/>
      <c r="M474" s="874"/>
      <c r="O474" s="874"/>
      <c r="P474" s="874"/>
      <c r="Q474" s="874"/>
      <c r="R474" s="874"/>
      <c r="S474" s="874"/>
      <c r="T474" s="874"/>
      <c r="W474" s="874"/>
      <c r="X474" s="874"/>
      <c r="Y474" s="874"/>
      <c r="Z474" s="874"/>
      <c r="AA474" s="874"/>
      <c r="AD474" s="526"/>
      <c r="AE474" s="526"/>
      <c r="AF474" s="526"/>
      <c r="AG474" s="526"/>
      <c r="AH474" s="526"/>
      <c r="AI474" s="526"/>
      <c r="AJ474" s="526"/>
      <c r="AK474" s="526"/>
      <c r="AL474" s="526"/>
      <c r="AM474" s="526"/>
      <c r="AN474" s="526"/>
      <c r="AO474" s="526"/>
      <c r="AP474" s="526"/>
      <c r="AQ474" s="526"/>
      <c r="AR474" s="526"/>
      <c r="AS474" s="526"/>
      <c r="AT474" s="526"/>
      <c r="AU474" s="526"/>
      <c r="AV474" s="526"/>
      <c r="AW474" s="526"/>
      <c r="AX474" s="526"/>
      <c r="AY474" s="526"/>
      <c r="AZ474" s="526"/>
      <c r="BA474" s="526"/>
      <c r="BB474" s="526"/>
      <c r="BC474" s="526"/>
      <c r="BD474" s="526"/>
      <c r="BE474" s="526"/>
      <c r="BF474" s="526"/>
      <c r="BG474" s="526"/>
    </row>
    <row r="475" spans="1:59" s="830" customFormat="1" ht="17.25" customHeight="1" x14ac:dyDescent="0.25">
      <c r="A475" s="865"/>
      <c r="B475" s="865"/>
      <c r="C475" s="908"/>
      <c r="G475" s="865"/>
      <c r="H475" s="874"/>
      <c r="I475" s="869"/>
      <c r="J475" s="869"/>
      <c r="K475" s="869"/>
      <c r="L475" s="869"/>
      <c r="M475" s="874"/>
      <c r="O475" s="874"/>
      <c r="P475" s="874"/>
      <c r="Q475" s="874"/>
      <c r="R475" s="874"/>
      <c r="S475" s="874"/>
      <c r="T475" s="874"/>
      <c r="W475" s="874"/>
      <c r="X475" s="874"/>
      <c r="Y475" s="874"/>
      <c r="Z475" s="874"/>
      <c r="AA475" s="874"/>
      <c r="AD475" s="526"/>
      <c r="AE475" s="526"/>
      <c r="AF475" s="526"/>
      <c r="AG475" s="526"/>
      <c r="AH475" s="526"/>
      <c r="AI475" s="526"/>
      <c r="AJ475" s="526"/>
      <c r="AK475" s="526"/>
      <c r="AL475" s="526"/>
      <c r="AM475" s="526"/>
      <c r="AN475" s="526"/>
      <c r="AO475" s="526"/>
      <c r="AP475" s="526"/>
      <c r="AQ475" s="526"/>
      <c r="AR475" s="526"/>
      <c r="AS475" s="526"/>
      <c r="AT475" s="526"/>
      <c r="AU475" s="526"/>
      <c r="AV475" s="526"/>
      <c r="AW475" s="526"/>
      <c r="AX475" s="526"/>
      <c r="AY475" s="526"/>
      <c r="AZ475" s="526"/>
      <c r="BA475" s="526"/>
      <c r="BB475" s="526"/>
      <c r="BC475" s="526"/>
      <c r="BD475" s="526"/>
      <c r="BE475" s="526"/>
      <c r="BF475" s="526"/>
      <c r="BG475" s="526"/>
    </row>
    <row r="476" spans="1:59" s="830" customFormat="1" ht="17.25" customHeight="1" x14ac:dyDescent="0.25">
      <c r="A476" s="865"/>
      <c r="B476" s="865"/>
      <c r="C476" s="908"/>
      <c r="G476" s="865"/>
      <c r="H476" s="874"/>
      <c r="I476" s="869"/>
      <c r="J476" s="869"/>
      <c r="K476" s="869"/>
      <c r="L476" s="869"/>
      <c r="M476" s="874"/>
      <c r="O476" s="874"/>
      <c r="P476" s="874"/>
      <c r="Q476" s="874"/>
      <c r="R476" s="874"/>
      <c r="S476" s="874"/>
      <c r="T476" s="874"/>
      <c r="W476" s="874"/>
      <c r="X476" s="874"/>
      <c r="Y476" s="874"/>
      <c r="Z476" s="874"/>
      <c r="AA476" s="874"/>
      <c r="AD476" s="526"/>
      <c r="AE476" s="526"/>
      <c r="AF476" s="526"/>
      <c r="AG476" s="526"/>
      <c r="AH476" s="526"/>
      <c r="AI476" s="526"/>
      <c r="AJ476" s="526"/>
      <c r="AK476" s="526"/>
      <c r="AL476" s="526"/>
      <c r="AM476" s="526"/>
      <c r="AN476" s="526"/>
      <c r="AO476" s="526"/>
      <c r="AP476" s="526"/>
      <c r="AQ476" s="526"/>
      <c r="AR476" s="526"/>
      <c r="AS476" s="526"/>
      <c r="AT476" s="526"/>
      <c r="AU476" s="526"/>
      <c r="AV476" s="526"/>
      <c r="AW476" s="526"/>
      <c r="AX476" s="526"/>
      <c r="AY476" s="526"/>
      <c r="AZ476" s="526"/>
      <c r="BA476" s="526"/>
      <c r="BB476" s="526"/>
      <c r="BC476" s="526"/>
      <c r="BD476" s="526"/>
      <c r="BE476" s="526"/>
      <c r="BF476" s="526"/>
      <c r="BG476" s="526"/>
    </row>
    <row r="477" spans="1:59" s="830" customFormat="1" ht="17.25" customHeight="1" x14ac:dyDescent="0.25">
      <c r="A477" s="865"/>
      <c r="B477" s="865"/>
      <c r="C477" s="908"/>
      <c r="G477" s="865"/>
      <c r="H477" s="874"/>
      <c r="I477" s="869"/>
      <c r="J477" s="869"/>
      <c r="K477" s="869"/>
      <c r="L477" s="869"/>
      <c r="M477" s="874"/>
      <c r="O477" s="874"/>
      <c r="P477" s="874"/>
      <c r="Q477" s="874"/>
      <c r="R477" s="874"/>
      <c r="S477" s="874"/>
      <c r="T477" s="874"/>
      <c r="W477" s="874"/>
      <c r="X477" s="874"/>
      <c r="Y477" s="874"/>
      <c r="Z477" s="874"/>
      <c r="AA477" s="874"/>
      <c r="AD477" s="526"/>
      <c r="AE477" s="526"/>
      <c r="AF477" s="526"/>
      <c r="AG477" s="526"/>
      <c r="AH477" s="526"/>
      <c r="AI477" s="526"/>
      <c r="AJ477" s="526"/>
      <c r="AK477" s="526"/>
      <c r="AL477" s="526"/>
      <c r="AM477" s="526"/>
      <c r="AN477" s="526"/>
      <c r="AO477" s="526"/>
      <c r="AP477" s="526"/>
      <c r="AQ477" s="526"/>
      <c r="AR477" s="526"/>
      <c r="AS477" s="526"/>
      <c r="AT477" s="526"/>
      <c r="AU477" s="526"/>
      <c r="AV477" s="526"/>
      <c r="AW477" s="526"/>
      <c r="AX477" s="526"/>
      <c r="AY477" s="526"/>
      <c r="AZ477" s="526"/>
      <c r="BA477" s="526"/>
      <c r="BB477" s="526"/>
      <c r="BC477" s="526"/>
      <c r="BD477" s="526"/>
      <c r="BE477" s="526"/>
      <c r="BF477" s="526"/>
      <c r="BG477" s="526"/>
    </row>
    <row r="478" spans="1:59" s="830" customFormat="1" ht="17.25" customHeight="1" x14ac:dyDescent="0.25">
      <c r="A478" s="865"/>
      <c r="B478" s="865"/>
      <c r="C478" s="908"/>
      <c r="G478" s="865"/>
      <c r="H478" s="874"/>
      <c r="I478" s="869"/>
      <c r="J478" s="869"/>
      <c r="K478" s="869"/>
      <c r="L478" s="869"/>
      <c r="M478" s="874"/>
      <c r="O478" s="874"/>
      <c r="P478" s="874"/>
      <c r="Q478" s="874"/>
      <c r="R478" s="874"/>
      <c r="S478" s="874"/>
      <c r="T478" s="874"/>
      <c r="W478" s="874"/>
      <c r="X478" s="874"/>
      <c r="Y478" s="874"/>
      <c r="Z478" s="874"/>
      <c r="AA478" s="874"/>
      <c r="AD478" s="526"/>
      <c r="AE478" s="526"/>
      <c r="AF478" s="526"/>
      <c r="AG478" s="526"/>
      <c r="AH478" s="526"/>
      <c r="AI478" s="526"/>
      <c r="AJ478" s="526"/>
      <c r="AK478" s="526"/>
      <c r="AL478" s="526"/>
      <c r="AM478" s="526"/>
      <c r="AN478" s="526"/>
      <c r="AO478" s="526"/>
      <c r="AP478" s="526"/>
      <c r="AQ478" s="526"/>
      <c r="AR478" s="526"/>
      <c r="AS478" s="526"/>
      <c r="AT478" s="526"/>
      <c r="AU478" s="526"/>
      <c r="AV478" s="526"/>
      <c r="AW478" s="526"/>
      <c r="AX478" s="526"/>
      <c r="AY478" s="526"/>
      <c r="AZ478" s="526"/>
      <c r="BA478" s="526"/>
      <c r="BB478" s="526"/>
      <c r="BC478" s="526"/>
      <c r="BD478" s="526"/>
      <c r="BE478" s="526"/>
      <c r="BF478" s="526"/>
      <c r="BG478" s="526"/>
    </row>
    <row r="479" spans="1:59" s="830" customFormat="1" ht="17.25" customHeight="1" x14ac:dyDescent="0.25">
      <c r="A479" s="865"/>
      <c r="B479" s="865"/>
      <c r="C479" s="908"/>
      <c r="G479" s="865"/>
      <c r="H479" s="874"/>
      <c r="I479" s="869"/>
      <c r="J479" s="869"/>
      <c r="K479" s="869"/>
      <c r="L479" s="869"/>
      <c r="M479" s="874"/>
      <c r="O479" s="874"/>
      <c r="P479" s="874"/>
      <c r="Q479" s="874"/>
      <c r="R479" s="874"/>
      <c r="S479" s="874"/>
      <c r="T479" s="874"/>
      <c r="W479" s="874"/>
      <c r="X479" s="874"/>
      <c r="Y479" s="874"/>
      <c r="Z479" s="874"/>
      <c r="AA479" s="874"/>
      <c r="AD479" s="526"/>
      <c r="AE479" s="526"/>
      <c r="AF479" s="526"/>
      <c r="AG479" s="526"/>
      <c r="AH479" s="526"/>
      <c r="AI479" s="526"/>
      <c r="AJ479" s="526"/>
      <c r="AK479" s="526"/>
      <c r="AL479" s="526"/>
      <c r="AM479" s="526"/>
      <c r="AN479" s="526"/>
      <c r="AO479" s="526"/>
      <c r="AP479" s="526"/>
      <c r="AQ479" s="526"/>
      <c r="AR479" s="526"/>
      <c r="AS479" s="526"/>
      <c r="AT479" s="526"/>
      <c r="AU479" s="526"/>
      <c r="AV479" s="526"/>
      <c r="AW479" s="526"/>
      <c r="AX479" s="526"/>
      <c r="AY479" s="526"/>
      <c r="AZ479" s="526"/>
      <c r="BA479" s="526"/>
      <c r="BB479" s="526"/>
      <c r="BC479" s="526"/>
      <c r="BD479" s="526"/>
      <c r="BE479" s="526"/>
      <c r="BF479" s="526"/>
      <c r="BG479" s="526"/>
    </row>
    <row r="480" spans="1:59" s="830" customFormat="1" ht="17.25" customHeight="1" x14ac:dyDescent="0.25">
      <c r="A480" s="865"/>
      <c r="B480" s="865"/>
      <c r="C480" s="908"/>
      <c r="G480" s="865"/>
      <c r="H480" s="874"/>
      <c r="I480" s="869"/>
      <c r="J480" s="869"/>
      <c r="K480" s="869"/>
      <c r="L480" s="869"/>
      <c r="M480" s="874"/>
      <c r="O480" s="874"/>
      <c r="P480" s="874"/>
      <c r="Q480" s="874"/>
      <c r="R480" s="874"/>
      <c r="S480" s="874"/>
      <c r="T480" s="874"/>
      <c r="W480" s="874"/>
      <c r="X480" s="874"/>
      <c r="Y480" s="874"/>
      <c r="Z480" s="874"/>
      <c r="AA480" s="874"/>
      <c r="AD480" s="526"/>
      <c r="AE480" s="526"/>
      <c r="AF480" s="526"/>
      <c r="AG480" s="526"/>
      <c r="AH480" s="526"/>
      <c r="AI480" s="526"/>
      <c r="AJ480" s="526"/>
      <c r="AK480" s="526"/>
      <c r="AL480" s="526"/>
      <c r="AM480" s="526"/>
      <c r="AN480" s="526"/>
      <c r="AO480" s="526"/>
      <c r="AP480" s="526"/>
      <c r="AQ480" s="526"/>
      <c r="AR480" s="526"/>
      <c r="AS480" s="526"/>
      <c r="AT480" s="526"/>
      <c r="AU480" s="526"/>
      <c r="AV480" s="526"/>
      <c r="AW480" s="526"/>
      <c r="AX480" s="526"/>
      <c r="AY480" s="526"/>
      <c r="AZ480" s="526"/>
      <c r="BA480" s="526"/>
      <c r="BB480" s="526"/>
      <c r="BC480" s="526"/>
      <c r="BD480" s="526"/>
      <c r="BE480" s="526"/>
      <c r="BF480" s="526"/>
      <c r="BG480" s="526"/>
    </row>
    <row r="481" spans="1:59" s="830" customFormat="1" ht="17.25" customHeight="1" x14ac:dyDescent="0.25">
      <c r="A481" s="865"/>
      <c r="B481" s="865"/>
      <c r="C481" s="908"/>
      <c r="G481" s="865"/>
      <c r="H481" s="874"/>
      <c r="I481" s="869"/>
      <c r="J481" s="869"/>
      <c r="K481" s="869"/>
      <c r="L481" s="869"/>
      <c r="M481" s="874"/>
      <c r="O481" s="874"/>
      <c r="P481" s="874"/>
      <c r="Q481" s="874"/>
      <c r="R481" s="874"/>
      <c r="S481" s="874"/>
      <c r="T481" s="874"/>
      <c r="W481" s="874"/>
      <c r="X481" s="874"/>
      <c r="Y481" s="874"/>
      <c r="Z481" s="874"/>
      <c r="AA481" s="874"/>
      <c r="AD481" s="526"/>
      <c r="AE481" s="526"/>
      <c r="AF481" s="526"/>
      <c r="AG481" s="526"/>
      <c r="AH481" s="526"/>
      <c r="AI481" s="526"/>
      <c r="AJ481" s="526"/>
      <c r="AK481" s="526"/>
      <c r="AL481" s="526"/>
      <c r="AM481" s="526"/>
      <c r="AN481" s="526"/>
      <c r="AO481" s="526"/>
      <c r="AP481" s="526"/>
      <c r="AQ481" s="526"/>
      <c r="AR481" s="526"/>
      <c r="AS481" s="526"/>
      <c r="AT481" s="526"/>
      <c r="AU481" s="526"/>
      <c r="AV481" s="526"/>
      <c r="AW481" s="526"/>
      <c r="AX481" s="526"/>
      <c r="AY481" s="526"/>
      <c r="AZ481" s="526"/>
      <c r="BA481" s="526"/>
      <c r="BB481" s="526"/>
      <c r="BC481" s="526"/>
      <c r="BD481" s="526"/>
      <c r="BE481" s="526"/>
      <c r="BF481" s="526"/>
      <c r="BG481" s="526"/>
    </row>
    <row r="482" spans="1:59" s="830" customFormat="1" ht="17.25" customHeight="1" x14ac:dyDescent="0.25">
      <c r="A482" s="865"/>
      <c r="B482" s="865"/>
      <c r="C482" s="908"/>
      <c r="G482" s="865"/>
      <c r="H482" s="874"/>
      <c r="I482" s="869"/>
      <c r="J482" s="869"/>
      <c r="K482" s="869"/>
      <c r="L482" s="869"/>
      <c r="M482" s="874"/>
      <c r="O482" s="874"/>
      <c r="P482" s="874"/>
      <c r="Q482" s="874"/>
      <c r="R482" s="874"/>
      <c r="S482" s="874"/>
      <c r="T482" s="874"/>
      <c r="W482" s="874"/>
      <c r="X482" s="874"/>
      <c r="Y482" s="874"/>
      <c r="Z482" s="874"/>
      <c r="AA482" s="874"/>
      <c r="AD482" s="526"/>
      <c r="AE482" s="526"/>
      <c r="AF482" s="526"/>
      <c r="AG482" s="526"/>
      <c r="AH482" s="526"/>
      <c r="AI482" s="526"/>
      <c r="AJ482" s="526"/>
      <c r="AK482" s="526"/>
      <c r="AL482" s="526"/>
      <c r="AM482" s="526"/>
      <c r="AN482" s="526"/>
      <c r="AO482" s="526"/>
      <c r="AP482" s="526"/>
      <c r="AQ482" s="526"/>
      <c r="AR482" s="526"/>
      <c r="AS482" s="526"/>
      <c r="AT482" s="526"/>
      <c r="AU482" s="526"/>
      <c r="AV482" s="526"/>
      <c r="AW482" s="526"/>
      <c r="AX482" s="526"/>
      <c r="AY482" s="526"/>
      <c r="AZ482" s="526"/>
      <c r="BA482" s="526"/>
      <c r="BB482" s="526"/>
      <c r="BC482" s="526"/>
      <c r="BD482" s="526"/>
      <c r="BE482" s="526"/>
      <c r="BF482" s="526"/>
      <c r="BG482" s="526"/>
    </row>
    <row r="483" spans="1:59" s="830" customFormat="1" ht="17.25" customHeight="1" x14ac:dyDescent="0.25">
      <c r="A483" s="865"/>
      <c r="B483" s="865"/>
      <c r="C483" s="908"/>
      <c r="G483" s="865"/>
      <c r="H483" s="874"/>
      <c r="I483" s="869"/>
      <c r="J483" s="869"/>
      <c r="K483" s="869"/>
      <c r="L483" s="869"/>
      <c r="M483" s="874"/>
      <c r="O483" s="874"/>
      <c r="P483" s="874"/>
      <c r="Q483" s="874"/>
      <c r="R483" s="874"/>
      <c r="S483" s="874"/>
      <c r="T483" s="874"/>
      <c r="W483" s="874"/>
      <c r="X483" s="874"/>
      <c r="Y483" s="874"/>
      <c r="Z483" s="874"/>
      <c r="AA483" s="874"/>
      <c r="AD483" s="526"/>
      <c r="AE483" s="526"/>
      <c r="AF483" s="526"/>
      <c r="AG483" s="526"/>
      <c r="AH483" s="526"/>
      <c r="AI483" s="526"/>
      <c r="AJ483" s="526"/>
      <c r="AK483" s="526"/>
      <c r="AL483" s="526"/>
      <c r="AM483" s="526"/>
      <c r="AN483" s="526"/>
      <c r="AO483" s="526"/>
      <c r="AP483" s="526"/>
      <c r="AQ483" s="526"/>
      <c r="AR483" s="526"/>
      <c r="AS483" s="526"/>
      <c r="AT483" s="526"/>
      <c r="AU483" s="526"/>
      <c r="AV483" s="526"/>
      <c r="AW483" s="526"/>
      <c r="AX483" s="526"/>
      <c r="AY483" s="526"/>
      <c r="AZ483" s="526"/>
      <c r="BA483" s="526"/>
      <c r="BB483" s="526"/>
      <c r="BC483" s="526"/>
      <c r="BD483" s="526"/>
      <c r="BE483" s="526"/>
      <c r="BF483" s="526"/>
      <c r="BG483" s="526"/>
    </row>
    <row r="484" spans="1:59" s="830" customFormat="1" ht="17.25" customHeight="1" x14ac:dyDescent="0.25">
      <c r="A484" s="865"/>
      <c r="B484" s="865"/>
      <c r="C484" s="908"/>
      <c r="G484" s="865"/>
      <c r="H484" s="874"/>
      <c r="I484" s="869"/>
      <c r="J484" s="869"/>
      <c r="K484" s="869"/>
      <c r="L484" s="869"/>
      <c r="M484" s="874"/>
      <c r="O484" s="874"/>
      <c r="P484" s="874"/>
      <c r="Q484" s="874"/>
      <c r="R484" s="874"/>
      <c r="S484" s="874"/>
      <c r="T484" s="874"/>
      <c r="W484" s="874"/>
      <c r="X484" s="874"/>
      <c r="Y484" s="874"/>
      <c r="Z484" s="874"/>
      <c r="AA484" s="874"/>
      <c r="AD484" s="526"/>
      <c r="AE484" s="526"/>
      <c r="AF484" s="526"/>
      <c r="AG484" s="526"/>
      <c r="AH484" s="526"/>
      <c r="AI484" s="526"/>
      <c r="AJ484" s="526"/>
      <c r="AK484" s="526"/>
      <c r="AL484" s="526"/>
      <c r="AM484" s="526"/>
      <c r="AN484" s="526"/>
      <c r="AO484" s="526"/>
      <c r="AP484" s="526"/>
      <c r="AQ484" s="526"/>
      <c r="AR484" s="526"/>
      <c r="AS484" s="526"/>
      <c r="AT484" s="526"/>
      <c r="AU484" s="526"/>
      <c r="AV484" s="526"/>
      <c r="AW484" s="526"/>
      <c r="AX484" s="526"/>
      <c r="AY484" s="526"/>
      <c r="AZ484" s="526"/>
      <c r="BA484" s="526"/>
      <c r="BB484" s="526"/>
      <c r="BC484" s="526"/>
      <c r="BD484" s="526"/>
      <c r="BE484" s="526"/>
      <c r="BF484" s="526"/>
      <c r="BG484" s="526"/>
    </row>
    <row r="485" spans="1:59" s="830" customFormat="1" ht="17.25" customHeight="1" x14ac:dyDescent="0.25">
      <c r="A485" s="865"/>
      <c r="B485" s="865"/>
      <c r="C485" s="908"/>
      <c r="G485" s="865"/>
      <c r="H485" s="874"/>
      <c r="I485" s="869"/>
      <c r="J485" s="869"/>
      <c r="K485" s="869"/>
      <c r="L485" s="869"/>
      <c r="M485" s="874"/>
      <c r="O485" s="874"/>
      <c r="P485" s="874"/>
      <c r="Q485" s="874"/>
      <c r="R485" s="874"/>
      <c r="S485" s="874"/>
      <c r="T485" s="874"/>
      <c r="W485" s="874"/>
      <c r="X485" s="874"/>
      <c r="Y485" s="874"/>
      <c r="Z485" s="874"/>
      <c r="AA485" s="874"/>
      <c r="AD485" s="526"/>
      <c r="AE485" s="526"/>
      <c r="AF485" s="526"/>
      <c r="AG485" s="526"/>
      <c r="AH485" s="526"/>
      <c r="AI485" s="526"/>
      <c r="AJ485" s="526"/>
      <c r="AK485" s="526"/>
      <c r="AL485" s="526"/>
      <c r="AM485" s="526"/>
      <c r="AN485" s="526"/>
      <c r="AO485" s="526"/>
      <c r="AP485" s="526"/>
      <c r="AQ485" s="526"/>
      <c r="AR485" s="526"/>
      <c r="AS485" s="526"/>
      <c r="AT485" s="526"/>
      <c r="AU485" s="526"/>
      <c r="AV485" s="526"/>
      <c r="AW485" s="526"/>
      <c r="AX485" s="526"/>
      <c r="AY485" s="526"/>
      <c r="AZ485" s="526"/>
      <c r="BA485" s="526"/>
      <c r="BB485" s="526"/>
      <c r="BC485" s="526"/>
      <c r="BD485" s="526"/>
      <c r="BE485" s="526"/>
      <c r="BF485" s="526"/>
      <c r="BG485" s="526"/>
    </row>
    <row r="486" spans="1:59" s="830" customFormat="1" ht="17.25" customHeight="1" x14ac:dyDescent="0.25">
      <c r="A486" s="865"/>
      <c r="B486" s="865"/>
      <c r="C486" s="908"/>
      <c r="G486" s="865"/>
      <c r="H486" s="874"/>
      <c r="I486" s="869"/>
      <c r="J486" s="869"/>
      <c r="K486" s="869"/>
      <c r="L486" s="869"/>
      <c r="M486" s="874"/>
      <c r="O486" s="874"/>
      <c r="P486" s="874"/>
      <c r="Q486" s="874"/>
      <c r="R486" s="874"/>
      <c r="S486" s="874"/>
      <c r="T486" s="874"/>
      <c r="W486" s="874"/>
      <c r="X486" s="874"/>
      <c r="Y486" s="874"/>
      <c r="Z486" s="874"/>
      <c r="AA486" s="874"/>
      <c r="AD486" s="526"/>
      <c r="AE486" s="526"/>
      <c r="AF486" s="526"/>
      <c r="AG486" s="526"/>
      <c r="AH486" s="526"/>
      <c r="AI486" s="526"/>
      <c r="AJ486" s="526"/>
      <c r="AK486" s="526"/>
      <c r="AL486" s="526"/>
      <c r="AM486" s="526"/>
      <c r="AN486" s="526"/>
      <c r="AO486" s="526"/>
      <c r="AP486" s="526"/>
      <c r="AQ486" s="526"/>
      <c r="AR486" s="526"/>
      <c r="AS486" s="526"/>
      <c r="AT486" s="526"/>
      <c r="AU486" s="526"/>
      <c r="AV486" s="526"/>
      <c r="AW486" s="526"/>
      <c r="AX486" s="526"/>
      <c r="AY486" s="526"/>
      <c r="AZ486" s="526"/>
      <c r="BA486" s="526"/>
      <c r="BB486" s="526"/>
      <c r="BC486" s="526"/>
      <c r="BD486" s="526"/>
      <c r="BE486" s="526"/>
      <c r="BF486" s="526"/>
      <c r="BG486" s="526"/>
    </row>
    <row r="487" spans="1:59" s="830" customFormat="1" ht="17.25" customHeight="1" x14ac:dyDescent="0.25">
      <c r="A487" s="865"/>
      <c r="B487" s="865"/>
      <c r="C487" s="908"/>
      <c r="G487" s="865"/>
      <c r="H487" s="874"/>
      <c r="I487" s="869"/>
      <c r="J487" s="869"/>
      <c r="K487" s="869"/>
      <c r="L487" s="869"/>
      <c r="M487" s="874"/>
      <c r="O487" s="874"/>
      <c r="P487" s="874"/>
      <c r="Q487" s="874"/>
      <c r="R487" s="874"/>
      <c r="S487" s="874"/>
      <c r="T487" s="874"/>
      <c r="W487" s="874"/>
      <c r="X487" s="874"/>
      <c r="Y487" s="874"/>
      <c r="Z487" s="874"/>
      <c r="AA487" s="874"/>
      <c r="AD487" s="526"/>
      <c r="AE487" s="526"/>
      <c r="AF487" s="526"/>
      <c r="AG487" s="526"/>
      <c r="AH487" s="526"/>
      <c r="AI487" s="526"/>
      <c r="AJ487" s="526"/>
      <c r="AK487" s="526"/>
      <c r="AL487" s="526"/>
      <c r="AM487" s="526"/>
      <c r="AN487" s="526"/>
      <c r="AO487" s="526"/>
      <c r="AP487" s="526"/>
      <c r="AQ487" s="526"/>
      <c r="AR487" s="526"/>
      <c r="AS487" s="526"/>
      <c r="AT487" s="526"/>
      <c r="AU487" s="526"/>
      <c r="AV487" s="526"/>
      <c r="AW487" s="526"/>
      <c r="AX487" s="526"/>
      <c r="AY487" s="526"/>
      <c r="AZ487" s="526"/>
      <c r="BA487" s="526"/>
      <c r="BB487" s="526"/>
      <c r="BC487" s="526"/>
      <c r="BD487" s="526"/>
      <c r="BE487" s="526"/>
      <c r="BF487" s="526"/>
      <c r="BG487" s="526"/>
    </row>
    <row r="488" spans="1:59" s="830" customFormat="1" ht="17.25" customHeight="1" x14ac:dyDescent="0.25">
      <c r="A488" s="865"/>
      <c r="B488" s="865"/>
      <c r="C488" s="908"/>
      <c r="G488" s="865"/>
      <c r="H488" s="874"/>
      <c r="I488" s="869"/>
      <c r="J488" s="869"/>
      <c r="K488" s="869"/>
      <c r="L488" s="869"/>
      <c r="M488" s="874"/>
      <c r="O488" s="874"/>
      <c r="P488" s="874"/>
      <c r="Q488" s="874"/>
      <c r="R488" s="874"/>
      <c r="S488" s="874"/>
      <c r="T488" s="874"/>
      <c r="W488" s="874"/>
      <c r="X488" s="874"/>
      <c r="Y488" s="874"/>
      <c r="Z488" s="874"/>
      <c r="AA488" s="874"/>
      <c r="AD488" s="526"/>
      <c r="AE488" s="526"/>
      <c r="AF488" s="526"/>
      <c r="AG488" s="526"/>
      <c r="AH488" s="526"/>
      <c r="AI488" s="526"/>
      <c r="AJ488" s="526"/>
      <c r="AK488" s="526"/>
      <c r="AL488" s="526"/>
      <c r="AM488" s="526"/>
      <c r="AN488" s="526"/>
      <c r="AO488" s="526"/>
      <c r="AP488" s="526"/>
      <c r="AQ488" s="526"/>
      <c r="AR488" s="526"/>
      <c r="AS488" s="526"/>
      <c r="AT488" s="526"/>
      <c r="AU488" s="526"/>
      <c r="AV488" s="526"/>
      <c r="AW488" s="526"/>
      <c r="AX488" s="526"/>
      <c r="AY488" s="526"/>
      <c r="AZ488" s="526"/>
      <c r="BA488" s="526"/>
      <c r="BB488" s="526"/>
      <c r="BC488" s="526"/>
      <c r="BD488" s="526"/>
      <c r="BE488" s="526"/>
      <c r="BF488" s="526"/>
      <c r="BG488" s="526"/>
    </row>
    <row r="489" spans="1:59" s="830" customFormat="1" ht="17.25" customHeight="1" x14ac:dyDescent="0.25">
      <c r="A489" s="865"/>
      <c r="B489" s="865"/>
      <c r="C489" s="908"/>
      <c r="G489" s="865"/>
      <c r="H489" s="874"/>
      <c r="I489" s="869"/>
      <c r="J489" s="869"/>
      <c r="K489" s="869"/>
      <c r="L489" s="869"/>
      <c r="M489" s="874"/>
      <c r="O489" s="874"/>
      <c r="P489" s="874"/>
      <c r="Q489" s="874"/>
      <c r="R489" s="874"/>
      <c r="S489" s="874"/>
      <c r="T489" s="874"/>
      <c r="W489" s="874"/>
      <c r="X489" s="874"/>
      <c r="Y489" s="874"/>
      <c r="Z489" s="874"/>
      <c r="AA489" s="874"/>
      <c r="AD489" s="526"/>
      <c r="AE489" s="526"/>
      <c r="AF489" s="526"/>
      <c r="AG489" s="526"/>
      <c r="AH489" s="526"/>
      <c r="AI489" s="526"/>
      <c r="AJ489" s="526"/>
      <c r="AK489" s="526"/>
      <c r="AL489" s="526"/>
      <c r="AM489" s="526"/>
      <c r="AN489" s="526"/>
      <c r="AO489" s="526"/>
      <c r="AP489" s="526"/>
      <c r="AQ489" s="526"/>
      <c r="AR489" s="526"/>
      <c r="AS489" s="526"/>
      <c r="AT489" s="526"/>
      <c r="AU489" s="526"/>
      <c r="AV489" s="526"/>
      <c r="AW489" s="526"/>
      <c r="AX489" s="526"/>
      <c r="AY489" s="526"/>
      <c r="AZ489" s="526"/>
      <c r="BA489" s="526"/>
      <c r="BB489" s="526"/>
      <c r="BC489" s="526"/>
      <c r="BD489" s="526"/>
      <c r="BE489" s="526"/>
      <c r="BF489" s="526"/>
      <c r="BG489" s="526"/>
    </row>
    <row r="490" spans="1:59" s="830" customFormat="1" ht="17.25" customHeight="1" x14ac:dyDescent="0.25">
      <c r="A490" s="865"/>
      <c r="B490" s="865"/>
      <c r="C490" s="908"/>
      <c r="G490" s="865"/>
      <c r="H490" s="874"/>
      <c r="I490" s="869"/>
      <c r="J490" s="869"/>
      <c r="K490" s="869"/>
      <c r="L490" s="869"/>
      <c r="M490" s="874"/>
      <c r="O490" s="874"/>
      <c r="P490" s="874"/>
      <c r="Q490" s="874"/>
      <c r="R490" s="874"/>
      <c r="S490" s="874"/>
      <c r="T490" s="874"/>
      <c r="W490" s="874"/>
      <c r="X490" s="874"/>
      <c r="Y490" s="874"/>
      <c r="Z490" s="874"/>
      <c r="AA490" s="874"/>
      <c r="AD490" s="526"/>
      <c r="AE490" s="526"/>
      <c r="AF490" s="526"/>
      <c r="AG490" s="526"/>
      <c r="AH490" s="526"/>
      <c r="AI490" s="526"/>
      <c r="AJ490" s="526"/>
      <c r="AK490" s="526"/>
      <c r="AL490" s="526"/>
      <c r="AM490" s="526"/>
      <c r="AN490" s="526"/>
      <c r="AO490" s="526"/>
      <c r="AP490" s="526"/>
      <c r="AQ490" s="526"/>
      <c r="AR490" s="526"/>
      <c r="AS490" s="526"/>
      <c r="AT490" s="526"/>
      <c r="AU490" s="526"/>
      <c r="AV490" s="526"/>
      <c r="AW490" s="526"/>
      <c r="AX490" s="526"/>
      <c r="AY490" s="526"/>
      <c r="AZ490" s="526"/>
      <c r="BA490" s="526"/>
      <c r="BB490" s="526"/>
      <c r="BC490" s="526"/>
      <c r="BD490" s="526"/>
      <c r="BE490" s="526"/>
      <c r="BF490" s="526"/>
      <c r="BG490" s="526"/>
    </row>
    <row r="491" spans="1:59" s="830" customFormat="1" ht="17.25" customHeight="1" x14ac:dyDescent="0.25">
      <c r="A491" s="865"/>
      <c r="B491" s="865"/>
      <c r="C491" s="908"/>
      <c r="G491" s="865"/>
      <c r="H491" s="874"/>
      <c r="I491" s="869"/>
      <c r="J491" s="869"/>
      <c r="K491" s="869"/>
      <c r="L491" s="869"/>
      <c r="M491" s="874"/>
      <c r="O491" s="874"/>
      <c r="P491" s="874"/>
      <c r="Q491" s="874"/>
      <c r="R491" s="874"/>
      <c r="S491" s="874"/>
      <c r="T491" s="874"/>
      <c r="W491" s="874"/>
      <c r="X491" s="874"/>
      <c r="Y491" s="874"/>
      <c r="Z491" s="874"/>
      <c r="AA491" s="874"/>
      <c r="AD491" s="526"/>
      <c r="AE491" s="526"/>
      <c r="AF491" s="526"/>
      <c r="AG491" s="526"/>
      <c r="AH491" s="526"/>
      <c r="AI491" s="526"/>
      <c r="AJ491" s="526"/>
      <c r="AK491" s="526"/>
      <c r="AL491" s="526"/>
      <c r="AM491" s="526"/>
      <c r="AN491" s="526"/>
      <c r="AO491" s="526"/>
      <c r="AP491" s="526"/>
      <c r="AQ491" s="526"/>
      <c r="AR491" s="526"/>
      <c r="AS491" s="526"/>
      <c r="AT491" s="526"/>
      <c r="AU491" s="526"/>
      <c r="AV491" s="526"/>
      <c r="AW491" s="526"/>
      <c r="AX491" s="526"/>
      <c r="AY491" s="526"/>
      <c r="AZ491" s="526"/>
      <c r="BA491" s="526"/>
      <c r="BB491" s="526"/>
      <c r="BC491" s="526"/>
      <c r="BD491" s="526"/>
      <c r="BE491" s="526"/>
      <c r="BF491" s="526"/>
      <c r="BG491" s="526"/>
    </row>
    <row r="492" spans="1:59" s="830" customFormat="1" ht="17.25" customHeight="1" x14ac:dyDescent="0.25">
      <c r="A492" s="865"/>
      <c r="B492" s="865"/>
      <c r="C492" s="908"/>
      <c r="G492" s="865"/>
      <c r="H492" s="874"/>
      <c r="I492" s="869"/>
      <c r="J492" s="869"/>
      <c r="K492" s="869"/>
      <c r="L492" s="869"/>
      <c r="M492" s="874"/>
      <c r="O492" s="874"/>
      <c r="P492" s="874"/>
      <c r="Q492" s="874"/>
      <c r="R492" s="874"/>
      <c r="S492" s="874"/>
      <c r="T492" s="874"/>
      <c r="W492" s="874"/>
      <c r="X492" s="874"/>
      <c r="Y492" s="874"/>
      <c r="Z492" s="874"/>
      <c r="AA492" s="874"/>
      <c r="AD492" s="526"/>
      <c r="AE492" s="526"/>
      <c r="AF492" s="526"/>
      <c r="AG492" s="526"/>
      <c r="AH492" s="526"/>
      <c r="AI492" s="526"/>
      <c r="AJ492" s="526"/>
      <c r="AK492" s="526"/>
      <c r="AL492" s="526"/>
      <c r="AM492" s="526"/>
      <c r="AN492" s="526"/>
      <c r="AO492" s="526"/>
      <c r="AP492" s="526"/>
      <c r="AQ492" s="526"/>
      <c r="AR492" s="526"/>
      <c r="AS492" s="526"/>
      <c r="AT492" s="526"/>
      <c r="AU492" s="526"/>
      <c r="AV492" s="526"/>
      <c r="AW492" s="526"/>
      <c r="AX492" s="526"/>
      <c r="AY492" s="526"/>
      <c r="AZ492" s="526"/>
      <c r="BA492" s="526"/>
      <c r="BB492" s="526"/>
      <c r="BC492" s="526"/>
      <c r="BD492" s="526"/>
      <c r="BE492" s="526"/>
      <c r="BF492" s="526"/>
      <c r="BG492" s="526"/>
    </row>
    <row r="493" spans="1:59" s="830" customFormat="1" ht="17.25" customHeight="1" x14ac:dyDescent="0.25">
      <c r="A493" s="865"/>
      <c r="B493" s="865"/>
      <c r="C493" s="908"/>
      <c r="G493" s="865"/>
      <c r="H493" s="874"/>
      <c r="I493" s="869"/>
      <c r="J493" s="869"/>
      <c r="K493" s="869"/>
      <c r="L493" s="869"/>
      <c r="M493" s="874"/>
      <c r="O493" s="874"/>
      <c r="P493" s="874"/>
      <c r="Q493" s="874"/>
      <c r="R493" s="874"/>
      <c r="S493" s="874"/>
      <c r="T493" s="874"/>
      <c r="W493" s="874"/>
      <c r="X493" s="874"/>
      <c r="Y493" s="874"/>
      <c r="Z493" s="874"/>
      <c r="AA493" s="874"/>
      <c r="AD493" s="526"/>
      <c r="AE493" s="526"/>
      <c r="AF493" s="526"/>
      <c r="AG493" s="526"/>
      <c r="AH493" s="526"/>
      <c r="AI493" s="526"/>
      <c r="AJ493" s="526"/>
      <c r="AK493" s="526"/>
      <c r="AL493" s="526"/>
      <c r="AM493" s="526"/>
      <c r="AN493" s="526"/>
      <c r="AO493" s="526"/>
      <c r="AP493" s="526"/>
      <c r="AQ493" s="526"/>
      <c r="AR493" s="526"/>
      <c r="AS493" s="526"/>
      <c r="AT493" s="526"/>
      <c r="AU493" s="526"/>
      <c r="AV493" s="526"/>
      <c r="AW493" s="526"/>
      <c r="AX493" s="526"/>
      <c r="AY493" s="526"/>
      <c r="AZ493" s="526"/>
      <c r="BA493" s="526"/>
      <c r="BB493" s="526"/>
      <c r="BC493" s="526"/>
      <c r="BD493" s="526"/>
      <c r="BE493" s="526"/>
      <c r="BF493" s="526"/>
      <c r="BG493" s="526"/>
    </row>
    <row r="494" spans="1:59" s="830" customFormat="1" ht="17.25" customHeight="1" x14ac:dyDescent="0.25">
      <c r="A494" s="865"/>
      <c r="B494" s="865"/>
      <c r="C494" s="908"/>
      <c r="G494" s="865"/>
      <c r="H494" s="874"/>
      <c r="I494" s="869"/>
      <c r="J494" s="869"/>
      <c r="K494" s="869"/>
      <c r="L494" s="869"/>
      <c r="M494" s="874"/>
      <c r="O494" s="874"/>
      <c r="P494" s="874"/>
      <c r="Q494" s="874"/>
      <c r="R494" s="874"/>
      <c r="S494" s="874"/>
      <c r="T494" s="874"/>
      <c r="W494" s="874"/>
      <c r="X494" s="874"/>
      <c r="Y494" s="874"/>
      <c r="Z494" s="874"/>
      <c r="AA494" s="874"/>
      <c r="AD494" s="526"/>
      <c r="AE494" s="526"/>
      <c r="AF494" s="526"/>
      <c r="AG494" s="526"/>
      <c r="AH494" s="526"/>
      <c r="AI494" s="526"/>
      <c r="AJ494" s="526"/>
      <c r="AK494" s="526"/>
      <c r="AL494" s="526"/>
      <c r="AM494" s="526"/>
      <c r="AN494" s="526"/>
      <c r="AO494" s="526"/>
      <c r="AP494" s="526"/>
      <c r="AQ494" s="526"/>
      <c r="AR494" s="526"/>
      <c r="AS494" s="526"/>
      <c r="AT494" s="526"/>
      <c r="AU494" s="526"/>
      <c r="AV494" s="526"/>
      <c r="AW494" s="526"/>
      <c r="AX494" s="526"/>
      <c r="AY494" s="526"/>
      <c r="AZ494" s="526"/>
      <c r="BA494" s="526"/>
      <c r="BB494" s="526"/>
      <c r="BC494" s="526"/>
      <c r="BD494" s="526"/>
      <c r="BE494" s="526"/>
      <c r="BF494" s="526"/>
      <c r="BG494" s="526"/>
    </row>
    <row r="495" spans="1:59" s="830" customFormat="1" ht="17.25" customHeight="1" x14ac:dyDescent="0.25">
      <c r="A495" s="865"/>
      <c r="B495" s="865"/>
      <c r="C495" s="908"/>
      <c r="G495" s="865"/>
      <c r="H495" s="874"/>
      <c r="I495" s="869"/>
      <c r="J495" s="869"/>
      <c r="K495" s="869"/>
      <c r="L495" s="869"/>
      <c r="M495" s="874"/>
      <c r="O495" s="874"/>
      <c r="P495" s="874"/>
      <c r="Q495" s="874"/>
      <c r="R495" s="874"/>
      <c r="S495" s="874"/>
      <c r="T495" s="874"/>
      <c r="W495" s="874"/>
      <c r="X495" s="874"/>
      <c r="Y495" s="874"/>
      <c r="Z495" s="874"/>
      <c r="AA495" s="874"/>
      <c r="AD495" s="526"/>
      <c r="AE495" s="526"/>
      <c r="AF495" s="526"/>
      <c r="AG495" s="526"/>
      <c r="AH495" s="526"/>
      <c r="AI495" s="526"/>
      <c r="AJ495" s="526"/>
      <c r="AK495" s="526"/>
      <c r="AL495" s="526"/>
      <c r="AM495" s="526"/>
      <c r="AN495" s="526"/>
      <c r="AO495" s="526"/>
      <c r="AP495" s="526"/>
      <c r="AQ495" s="526"/>
      <c r="AR495" s="526"/>
      <c r="AS495" s="526"/>
      <c r="AT495" s="526"/>
      <c r="AU495" s="526"/>
      <c r="AV495" s="526"/>
      <c r="AW495" s="526"/>
      <c r="AX495" s="526"/>
      <c r="AY495" s="526"/>
      <c r="AZ495" s="526"/>
      <c r="BA495" s="526"/>
      <c r="BB495" s="526"/>
      <c r="BC495" s="526"/>
      <c r="BD495" s="526"/>
      <c r="BE495" s="526"/>
      <c r="BF495" s="526"/>
      <c r="BG495" s="526"/>
    </row>
    <row r="496" spans="1:59" s="830" customFormat="1" ht="17.25" customHeight="1" x14ac:dyDescent="0.25">
      <c r="A496" s="865"/>
      <c r="B496" s="865"/>
      <c r="C496" s="908"/>
      <c r="G496" s="865"/>
      <c r="H496" s="874"/>
      <c r="I496" s="869"/>
      <c r="J496" s="869"/>
      <c r="K496" s="869"/>
      <c r="L496" s="869"/>
      <c r="M496" s="874"/>
      <c r="O496" s="874"/>
      <c r="P496" s="874"/>
      <c r="Q496" s="874"/>
      <c r="R496" s="874"/>
      <c r="S496" s="874"/>
      <c r="T496" s="874"/>
      <c r="W496" s="874"/>
      <c r="X496" s="874"/>
      <c r="Y496" s="874"/>
      <c r="Z496" s="874"/>
      <c r="AA496" s="874"/>
      <c r="AD496" s="526"/>
      <c r="AE496" s="526"/>
      <c r="AF496" s="526"/>
      <c r="AG496" s="526"/>
      <c r="AH496" s="526"/>
      <c r="AI496" s="526"/>
      <c r="AJ496" s="526"/>
      <c r="AK496" s="526"/>
      <c r="AL496" s="526"/>
      <c r="AM496" s="526"/>
      <c r="AN496" s="526"/>
      <c r="AO496" s="526"/>
      <c r="AP496" s="526"/>
      <c r="AQ496" s="526"/>
      <c r="AR496" s="526"/>
      <c r="AS496" s="526"/>
      <c r="AT496" s="526"/>
      <c r="AU496" s="526"/>
      <c r="AV496" s="526"/>
      <c r="AW496" s="526"/>
      <c r="AX496" s="526"/>
      <c r="AY496" s="526"/>
      <c r="AZ496" s="526"/>
      <c r="BA496" s="526"/>
      <c r="BB496" s="526"/>
      <c r="BC496" s="526"/>
      <c r="BD496" s="526"/>
      <c r="BE496" s="526"/>
      <c r="BF496" s="526"/>
      <c r="BG496" s="526"/>
    </row>
    <row r="497" spans="1:59" s="830" customFormat="1" ht="17.25" customHeight="1" x14ac:dyDescent="0.25">
      <c r="A497" s="865"/>
      <c r="B497" s="865"/>
      <c r="C497" s="908"/>
      <c r="G497" s="865"/>
      <c r="H497" s="874"/>
      <c r="I497" s="869"/>
      <c r="J497" s="869"/>
      <c r="K497" s="869"/>
      <c r="L497" s="869"/>
      <c r="M497" s="874"/>
      <c r="O497" s="874"/>
      <c r="P497" s="874"/>
      <c r="Q497" s="874"/>
      <c r="R497" s="874"/>
      <c r="S497" s="874"/>
      <c r="T497" s="874"/>
      <c r="W497" s="874"/>
      <c r="X497" s="874"/>
      <c r="Y497" s="874"/>
      <c r="Z497" s="874"/>
      <c r="AA497" s="874"/>
      <c r="AD497" s="526"/>
      <c r="AE497" s="526"/>
      <c r="AF497" s="526"/>
      <c r="AG497" s="526"/>
      <c r="AH497" s="526"/>
      <c r="AI497" s="526"/>
      <c r="AJ497" s="526"/>
      <c r="AK497" s="526"/>
      <c r="AL497" s="526"/>
      <c r="AM497" s="526"/>
      <c r="AN497" s="526"/>
      <c r="AO497" s="526"/>
      <c r="AP497" s="526"/>
      <c r="AQ497" s="526"/>
      <c r="AR497" s="526"/>
      <c r="AS497" s="526"/>
      <c r="AT497" s="526"/>
      <c r="AU497" s="526"/>
      <c r="AV497" s="526"/>
      <c r="AW497" s="526"/>
      <c r="AX497" s="526"/>
      <c r="AY497" s="526"/>
      <c r="AZ497" s="526"/>
      <c r="BA497" s="526"/>
      <c r="BB497" s="526"/>
      <c r="BC497" s="526"/>
      <c r="BD497" s="526"/>
      <c r="BE497" s="526"/>
      <c r="BF497" s="526"/>
      <c r="BG497" s="526"/>
    </row>
    <row r="498" spans="1:59" s="830" customFormat="1" ht="17.25" customHeight="1" x14ac:dyDescent="0.25">
      <c r="A498" s="865"/>
      <c r="B498" s="865"/>
      <c r="C498" s="908"/>
      <c r="G498" s="865"/>
      <c r="H498" s="874"/>
      <c r="I498" s="869"/>
      <c r="J498" s="869"/>
      <c r="K498" s="869"/>
      <c r="L498" s="869"/>
      <c r="M498" s="874"/>
      <c r="O498" s="874"/>
      <c r="P498" s="874"/>
      <c r="Q498" s="874"/>
      <c r="R498" s="874"/>
      <c r="S498" s="874"/>
      <c r="T498" s="874"/>
      <c r="W498" s="874"/>
      <c r="X498" s="874"/>
      <c r="Y498" s="874"/>
      <c r="Z498" s="874"/>
      <c r="AA498" s="874"/>
      <c r="AD498" s="526"/>
      <c r="AE498" s="526"/>
      <c r="AF498" s="526"/>
      <c r="AG498" s="526"/>
      <c r="AH498" s="526"/>
      <c r="AI498" s="526"/>
      <c r="AJ498" s="526"/>
      <c r="AK498" s="526"/>
      <c r="AL498" s="526"/>
      <c r="AM498" s="526"/>
      <c r="AN498" s="526"/>
      <c r="AO498" s="526"/>
      <c r="AP498" s="526"/>
      <c r="AQ498" s="526"/>
      <c r="AR498" s="526"/>
      <c r="AS498" s="526"/>
      <c r="AT498" s="526"/>
      <c r="AU498" s="526"/>
      <c r="AV498" s="526"/>
      <c r="AW498" s="526"/>
      <c r="AX498" s="526"/>
      <c r="AY498" s="526"/>
      <c r="AZ498" s="526"/>
      <c r="BA498" s="526"/>
      <c r="BB498" s="526"/>
      <c r="BC498" s="526"/>
      <c r="BD498" s="526"/>
      <c r="BE498" s="526"/>
      <c r="BF498" s="526"/>
      <c r="BG498" s="526"/>
    </row>
    <row r="499" spans="1:59" s="830" customFormat="1" ht="17.25" customHeight="1" x14ac:dyDescent="0.25">
      <c r="A499" s="865"/>
      <c r="B499" s="865"/>
      <c r="C499" s="908"/>
      <c r="G499" s="865"/>
      <c r="H499" s="874"/>
      <c r="I499" s="869"/>
      <c r="J499" s="869"/>
      <c r="K499" s="869"/>
      <c r="L499" s="869"/>
      <c r="M499" s="874"/>
      <c r="O499" s="874"/>
      <c r="P499" s="874"/>
      <c r="Q499" s="874"/>
      <c r="R499" s="874"/>
      <c r="S499" s="874"/>
      <c r="T499" s="874"/>
      <c r="W499" s="874"/>
      <c r="X499" s="874"/>
      <c r="Y499" s="874"/>
      <c r="Z499" s="874"/>
      <c r="AA499" s="874"/>
      <c r="AD499" s="526"/>
      <c r="AE499" s="526"/>
      <c r="AF499" s="526"/>
      <c r="AG499" s="526"/>
      <c r="AH499" s="526"/>
      <c r="AI499" s="526"/>
      <c r="AJ499" s="526"/>
      <c r="AK499" s="526"/>
      <c r="AL499" s="526"/>
      <c r="AM499" s="526"/>
      <c r="AN499" s="526"/>
      <c r="AO499" s="526"/>
      <c r="AP499" s="526"/>
      <c r="AQ499" s="526"/>
      <c r="AR499" s="526"/>
      <c r="AS499" s="526"/>
      <c r="AT499" s="526"/>
      <c r="AU499" s="526"/>
      <c r="AV499" s="526"/>
      <c r="AW499" s="526"/>
      <c r="AX499" s="526"/>
      <c r="AY499" s="526"/>
      <c r="AZ499" s="526"/>
      <c r="BA499" s="526"/>
      <c r="BB499" s="526"/>
      <c r="BC499" s="526"/>
      <c r="BD499" s="526"/>
      <c r="BE499" s="526"/>
      <c r="BF499" s="526"/>
      <c r="BG499" s="526"/>
    </row>
    <row r="500" spans="1:59" s="830" customFormat="1" ht="17.25" customHeight="1" x14ac:dyDescent="0.25">
      <c r="A500" s="865"/>
      <c r="B500" s="865"/>
      <c r="C500" s="908"/>
      <c r="G500" s="865"/>
      <c r="H500" s="874"/>
      <c r="I500" s="869"/>
      <c r="J500" s="869"/>
      <c r="K500" s="869"/>
      <c r="L500" s="869"/>
      <c r="M500" s="874"/>
      <c r="O500" s="874"/>
      <c r="P500" s="874"/>
      <c r="Q500" s="874"/>
      <c r="R500" s="874"/>
      <c r="S500" s="874"/>
      <c r="T500" s="874"/>
      <c r="W500" s="874"/>
      <c r="X500" s="874"/>
      <c r="Y500" s="874"/>
      <c r="Z500" s="874"/>
      <c r="AA500" s="874"/>
      <c r="AD500" s="526"/>
      <c r="AE500" s="526"/>
      <c r="AF500" s="526"/>
      <c r="AG500" s="526"/>
      <c r="AH500" s="526"/>
      <c r="AI500" s="526"/>
      <c r="AJ500" s="526"/>
      <c r="AK500" s="526"/>
      <c r="AL500" s="526"/>
      <c r="AM500" s="526"/>
      <c r="AN500" s="526"/>
      <c r="AO500" s="526"/>
      <c r="AP500" s="526"/>
      <c r="AQ500" s="526"/>
      <c r="AR500" s="526"/>
      <c r="AS500" s="526"/>
      <c r="AT500" s="526"/>
      <c r="AU500" s="526"/>
      <c r="AV500" s="526"/>
      <c r="AW500" s="526"/>
      <c r="AX500" s="526"/>
      <c r="AY500" s="526"/>
      <c r="AZ500" s="526"/>
      <c r="BA500" s="526"/>
      <c r="BB500" s="526"/>
      <c r="BC500" s="526"/>
      <c r="BD500" s="526"/>
      <c r="BE500" s="526"/>
      <c r="BF500" s="526"/>
      <c r="BG500" s="526"/>
    </row>
    <row r="501" spans="1:59" s="830" customFormat="1" ht="17.25" customHeight="1" x14ac:dyDescent="0.25">
      <c r="A501" s="865"/>
      <c r="B501" s="865"/>
      <c r="C501" s="908"/>
      <c r="G501" s="865"/>
      <c r="H501" s="874"/>
      <c r="I501" s="869"/>
      <c r="J501" s="869"/>
      <c r="K501" s="869"/>
      <c r="L501" s="869"/>
      <c r="M501" s="874"/>
      <c r="O501" s="874"/>
      <c r="P501" s="874"/>
      <c r="Q501" s="874"/>
      <c r="R501" s="874"/>
      <c r="S501" s="874"/>
      <c r="T501" s="874"/>
      <c r="W501" s="874"/>
      <c r="X501" s="874"/>
      <c r="Y501" s="874"/>
      <c r="Z501" s="874"/>
      <c r="AA501" s="874"/>
      <c r="AD501" s="526"/>
      <c r="AE501" s="526"/>
      <c r="AF501" s="526"/>
      <c r="AG501" s="526"/>
      <c r="AH501" s="526"/>
      <c r="AI501" s="526"/>
      <c r="AJ501" s="526"/>
      <c r="AK501" s="526"/>
      <c r="AL501" s="526"/>
      <c r="AM501" s="526"/>
      <c r="AN501" s="526"/>
      <c r="AO501" s="526"/>
      <c r="AP501" s="526"/>
      <c r="AQ501" s="526"/>
      <c r="AR501" s="526"/>
      <c r="AS501" s="526"/>
      <c r="AT501" s="526"/>
      <c r="AU501" s="526"/>
      <c r="AV501" s="526"/>
      <c r="AW501" s="526"/>
      <c r="AX501" s="526"/>
      <c r="AY501" s="526"/>
      <c r="AZ501" s="526"/>
      <c r="BA501" s="526"/>
      <c r="BB501" s="526"/>
      <c r="BC501" s="526"/>
      <c r="BD501" s="526"/>
      <c r="BE501" s="526"/>
      <c r="BF501" s="526"/>
      <c r="BG501" s="526"/>
    </row>
    <row r="502" spans="1:59" s="830" customFormat="1" ht="17.25" customHeight="1" x14ac:dyDescent="0.25">
      <c r="A502" s="865"/>
      <c r="B502" s="865"/>
      <c r="C502" s="908"/>
      <c r="G502" s="865"/>
      <c r="H502" s="874"/>
      <c r="I502" s="869"/>
      <c r="J502" s="869"/>
      <c r="K502" s="869"/>
      <c r="L502" s="869"/>
      <c r="M502" s="874"/>
      <c r="O502" s="874"/>
      <c r="P502" s="874"/>
      <c r="Q502" s="874"/>
      <c r="R502" s="874"/>
      <c r="S502" s="874"/>
      <c r="T502" s="874"/>
      <c r="W502" s="874"/>
      <c r="X502" s="874"/>
      <c r="Y502" s="874"/>
      <c r="Z502" s="874"/>
      <c r="AA502" s="874"/>
      <c r="AD502" s="526"/>
      <c r="AE502" s="526"/>
      <c r="AF502" s="526"/>
      <c r="AG502" s="526"/>
      <c r="AH502" s="526"/>
      <c r="AI502" s="526"/>
      <c r="AJ502" s="526"/>
      <c r="AK502" s="526"/>
      <c r="AL502" s="526"/>
      <c r="AM502" s="526"/>
      <c r="AN502" s="526"/>
      <c r="AO502" s="526"/>
      <c r="AP502" s="526"/>
      <c r="AQ502" s="526"/>
      <c r="AR502" s="526"/>
      <c r="AS502" s="526"/>
      <c r="AT502" s="526"/>
      <c r="AU502" s="526"/>
      <c r="AV502" s="526"/>
      <c r="AW502" s="526"/>
      <c r="AX502" s="526"/>
      <c r="AY502" s="526"/>
      <c r="AZ502" s="526"/>
      <c r="BA502" s="526"/>
      <c r="BB502" s="526"/>
      <c r="BC502" s="526"/>
      <c r="BD502" s="526"/>
      <c r="BE502" s="526"/>
      <c r="BF502" s="526"/>
      <c r="BG502" s="526"/>
    </row>
    <row r="503" spans="1:59" s="830" customFormat="1" ht="17.25" customHeight="1" x14ac:dyDescent="0.25">
      <c r="A503" s="865"/>
      <c r="B503" s="865"/>
      <c r="C503" s="908"/>
      <c r="G503" s="865"/>
      <c r="H503" s="874"/>
      <c r="I503" s="869"/>
      <c r="J503" s="869"/>
      <c r="K503" s="869"/>
      <c r="L503" s="869"/>
      <c r="M503" s="874"/>
      <c r="O503" s="874"/>
      <c r="P503" s="874"/>
      <c r="Q503" s="874"/>
      <c r="R503" s="874"/>
      <c r="S503" s="874"/>
      <c r="T503" s="874"/>
      <c r="W503" s="874"/>
      <c r="X503" s="874"/>
      <c r="Y503" s="874"/>
      <c r="Z503" s="874"/>
      <c r="AA503" s="874"/>
      <c r="AD503" s="526"/>
      <c r="AE503" s="526"/>
      <c r="AF503" s="526"/>
      <c r="AG503" s="526"/>
      <c r="AH503" s="526"/>
      <c r="AI503" s="526"/>
      <c r="AJ503" s="526"/>
      <c r="AK503" s="526"/>
      <c r="AL503" s="526"/>
      <c r="AM503" s="526"/>
      <c r="AN503" s="526"/>
      <c r="AO503" s="526"/>
      <c r="AP503" s="526"/>
      <c r="AQ503" s="526"/>
      <c r="AR503" s="526"/>
      <c r="AS503" s="526"/>
      <c r="AT503" s="526"/>
      <c r="AU503" s="526"/>
      <c r="AV503" s="526"/>
      <c r="AW503" s="526"/>
      <c r="AX503" s="526"/>
      <c r="AY503" s="526"/>
      <c r="AZ503" s="526"/>
      <c r="BA503" s="526"/>
      <c r="BB503" s="526"/>
      <c r="BC503" s="526"/>
      <c r="BD503" s="526"/>
      <c r="BE503" s="526"/>
      <c r="BF503" s="526"/>
      <c r="BG503" s="526"/>
    </row>
    <row r="504" spans="1:59" s="830" customFormat="1" ht="17.25" customHeight="1" x14ac:dyDescent="0.25">
      <c r="A504" s="865"/>
      <c r="B504" s="865"/>
      <c r="C504" s="908"/>
      <c r="G504" s="865"/>
      <c r="H504" s="874"/>
      <c r="I504" s="869"/>
      <c r="J504" s="869"/>
      <c r="K504" s="869"/>
      <c r="L504" s="869"/>
      <c r="M504" s="874"/>
      <c r="O504" s="874"/>
      <c r="P504" s="874"/>
      <c r="Q504" s="874"/>
      <c r="R504" s="874"/>
      <c r="S504" s="874"/>
      <c r="T504" s="874"/>
      <c r="W504" s="874"/>
      <c r="X504" s="874"/>
      <c r="Y504" s="874"/>
      <c r="Z504" s="874"/>
      <c r="AA504" s="874"/>
      <c r="AD504" s="526"/>
      <c r="AE504" s="526"/>
      <c r="AF504" s="526"/>
      <c r="AG504" s="526"/>
      <c r="AH504" s="526"/>
      <c r="AI504" s="526"/>
      <c r="AJ504" s="526"/>
      <c r="AK504" s="526"/>
      <c r="AL504" s="526"/>
      <c r="AM504" s="526"/>
      <c r="AN504" s="526"/>
      <c r="AO504" s="526"/>
      <c r="AP504" s="526"/>
      <c r="AQ504" s="526"/>
      <c r="AR504" s="526"/>
      <c r="AS504" s="526"/>
      <c r="AT504" s="526"/>
      <c r="AU504" s="526"/>
      <c r="AV504" s="526"/>
      <c r="AW504" s="526"/>
      <c r="AX504" s="526"/>
      <c r="AY504" s="526"/>
      <c r="AZ504" s="526"/>
      <c r="BA504" s="526"/>
      <c r="BB504" s="526"/>
      <c r="BC504" s="526"/>
      <c r="BD504" s="526"/>
      <c r="BE504" s="526"/>
      <c r="BF504" s="526"/>
      <c r="BG504" s="526"/>
    </row>
    <row r="505" spans="1:59" s="830" customFormat="1" ht="17.25" customHeight="1" x14ac:dyDescent="0.25">
      <c r="A505" s="865"/>
      <c r="B505" s="865"/>
      <c r="C505" s="908"/>
      <c r="G505" s="865"/>
      <c r="H505" s="874"/>
      <c r="I505" s="869"/>
      <c r="J505" s="869"/>
      <c r="K505" s="869"/>
      <c r="L505" s="869"/>
      <c r="M505" s="874"/>
      <c r="O505" s="874"/>
      <c r="P505" s="874"/>
      <c r="Q505" s="874"/>
      <c r="R505" s="874"/>
      <c r="S505" s="874"/>
      <c r="T505" s="874"/>
      <c r="W505" s="874"/>
      <c r="X505" s="874"/>
      <c r="Y505" s="874"/>
      <c r="Z505" s="874"/>
      <c r="AA505" s="874"/>
      <c r="AD505" s="526"/>
      <c r="AE505" s="526"/>
      <c r="AF505" s="526"/>
      <c r="AG505" s="526"/>
      <c r="AH505" s="526"/>
      <c r="AI505" s="526"/>
      <c r="AJ505" s="526"/>
      <c r="AK505" s="526"/>
      <c r="AL505" s="526"/>
      <c r="AM505" s="526"/>
      <c r="AN505" s="526"/>
      <c r="AO505" s="526"/>
      <c r="AP505" s="526"/>
      <c r="AQ505" s="526"/>
      <c r="AR505" s="526"/>
      <c r="AS505" s="526"/>
      <c r="AT505" s="526"/>
      <c r="AU505" s="526"/>
      <c r="AV505" s="526"/>
      <c r="AW505" s="526"/>
      <c r="AX505" s="526"/>
      <c r="AY505" s="526"/>
      <c r="AZ505" s="526"/>
      <c r="BA505" s="526"/>
      <c r="BB505" s="526"/>
      <c r="BC505" s="526"/>
      <c r="BD505" s="526"/>
      <c r="BE505" s="526"/>
      <c r="BF505" s="526"/>
      <c r="BG505" s="526"/>
    </row>
    <row r="506" spans="1:59" s="830" customFormat="1" ht="17.25" customHeight="1" x14ac:dyDescent="0.25">
      <c r="A506" s="865"/>
      <c r="B506" s="865"/>
      <c r="C506" s="908"/>
      <c r="G506" s="865"/>
      <c r="H506" s="874"/>
      <c r="I506" s="869"/>
      <c r="J506" s="869"/>
      <c r="K506" s="869"/>
      <c r="L506" s="869"/>
      <c r="M506" s="874"/>
      <c r="O506" s="874"/>
      <c r="P506" s="874"/>
      <c r="Q506" s="874"/>
      <c r="R506" s="874"/>
      <c r="S506" s="874"/>
      <c r="T506" s="874"/>
      <c r="W506" s="874"/>
      <c r="X506" s="874"/>
      <c r="Y506" s="874"/>
      <c r="Z506" s="874"/>
      <c r="AA506" s="874"/>
      <c r="AD506" s="526"/>
      <c r="AE506" s="526"/>
      <c r="AF506" s="526"/>
      <c r="AG506" s="526"/>
      <c r="AH506" s="526"/>
      <c r="AI506" s="526"/>
      <c r="AJ506" s="526"/>
      <c r="AK506" s="526"/>
      <c r="AL506" s="526"/>
      <c r="AM506" s="526"/>
      <c r="AN506" s="526"/>
      <c r="AO506" s="526"/>
      <c r="AP506" s="526"/>
      <c r="AQ506" s="526"/>
      <c r="AR506" s="526"/>
      <c r="AS506" s="526"/>
      <c r="AT506" s="526"/>
      <c r="AU506" s="526"/>
      <c r="AV506" s="526"/>
      <c r="AW506" s="526"/>
      <c r="AX506" s="526"/>
      <c r="AY506" s="526"/>
      <c r="AZ506" s="526"/>
      <c r="BA506" s="526"/>
      <c r="BB506" s="526"/>
      <c r="BC506" s="526"/>
      <c r="BD506" s="526"/>
      <c r="BE506" s="526"/>
      <c r="BF506" s="526"/>
      <c r="BG506" s="526"/>
    </row>
    <row r="507" spans="1:59" s="830" customFormat="1" ht="17.25" customHeight="1" x14ac:dyDescent="0.25">
      <c r="A507" s="865"/>
      <c r="B507" s="865"/>
      <c r="C507" s="908"/>
      <c r="G507" s="865"/>
      <c r="H507" s="874"/>
      <c r="I507" s="869"/>
      <c r="J507" s="869"/>
      <c r="K507" s="869"/>
      <c r="L507" s="869"/>
      <c r="M507" s="874"/>
      <c r="O507" s="874"/>
      <c r="P507" s="874"/>
      <c r="Q507" s="874"/>
      <c r="R507" s="874"/>
      <c r="S507" s="874"/>
      <c r="T507" s="874"/>
      <c r="W507" s="874"/>
      <c r="X507" s="874"/>
      <c r="Y507" s="874"/>
      <c r="Z507" s="874"/>
      <c r="AA507" s="874"/>
      <c r="AD507" s="526"/>
      <c r="AE507" s="526"/>
      <c r="AF507" s="526"/>
      <c r="AG507" s="526"/>
      <c r="AH507" s="526"/>
      <c r="AI507" s="526"/>
      <c r="AJ507" s="526"/>
      <c r="AK507" s="526"/>
      <c r="AL507" s="526"/>
      <c r="AM507" s="526"/>
      <c r="AN507" s="526"/>
      <c r="AO507" s="526"/>
      <c r="AP507" s="526"/>
      <c r="AQ507" s="526"/>
      <c r="AR507" s="526"/>
      <c r="AS507" s="526"/>
      <c r="AT507" s="526"/>
      <c r="AU507" s="526"/>
      <c r="AV507" s="526"/>
      <c r="AW507" s="526"/>
      <c r="AX507" s="526"/>
      <c r="AY507" s="526"/>
      <c r="AZ507" s="526"/>
      <c r="BA507" s="526"/>
      <c r="BB507" s="526"/>
      <c r="BC507" s="526"/>
      <c r="BD507" s="526"/>
      <c r="BE507" s="526"/>
      <c r="BF507" s="526"/>
      <c r="BG507" s="526"/>
    </row>
    <row r="508" spans="1:59" s="830" customFormat="1" ht="17.25" customHeight="1" x14ac:dyDescent="0.25">
      <c r="A508" s="865"/>
      <c r="B508" s="865"/>
      <c r="C508" s="908"/>
      <c r="G508" s="865"/>
      <c r="H508" s="874"/>
      <c r="I508" s="869"/>
      <c r="J508" s="869"/>
      <c r="K508" s="869"/>
      <c r="L508" s="869"/>
      <c r="M508" s="874"/>
      <c r="O508" s="874"/>
      <c r="P508" s="874"/>
      <c r="Q508" s="874"/>
      <c r="R508" s="874"/>
      <c r="S508" s="874"/>
      <c r="T508" s="874"/>
      <c r="W508" s="874"/>
      <c r="X508" s="874"/>
      <c r="Y508" s="874"/>
      <c r="Z508" s="874"/>
      <c r="AA508" s="874"/>
      <c r="AD508" s="526"/>
      <c r="AE508" s="526"/>
      <c r="AF508" s="526"/>
      <c r="AG508" s="526"/>
      <c r="AH508" s="526"/>
      <c r="AI508" s="526"/>
      <c r="AJ508" s="526"/>
      <c r="AK508" s="526"/>
      <c r="AL508" s="526"/>
      <c r="AM508" s="526"/>
      <c r="AN508" s="526"/>
      <c r="AO508" s="526"/>
      <c r="AP508" s="526"/>
      <c r="AQ508" s="526"/>
      <c r="AR508" s="526"/>
      <c r="AS508" s="526"/>
      <c r="AT508" s="526"/>
      <c r="AU508" s="526"/>
      <c r="AV508" s="526"/>
      <c r="AW508" s="526"/>
      <c r="AX508" s="526"/>
      <c r="AY508" s="526"/>
      <c r="AZ508" s="526"/>
      <c r="BA508" s="526"/>
      <c r="BB508" s="526"/>
      <c r="BC508" s="526"/>
      <c r="BD508" s="526"/>
      <c r="BE508" s="526"/>
      <c r="BF508" s="526"/>
      <c r="BG508" s="526"/>
    </row>
    <row r="509" spans="1:59" s="830" customFormat="1" ht="17.25" customHeight="1" x14ac:dyDescent="0.25">
      <c r="A509" s="865"/>
      <c r="B509" s="865"/>
      <c r="C509" s="908"/>
      <c r="G509" s="865"/>
      <c r="H509" s="874"/>
      <c r="I509" s="869"/>
      <c r="J509" s="869"/>
      <c r="K509" s="869"/>
      <c r="L509" s="869"/>
      <c r="M509" s="874"/>
      <c r="O509" s="874"/>
      <c r="P509" s="874"/>
      <c r="Q509" s="874"/>
      <c r="R509" s="874"/>
      <c r="S509" s="874"/>
      <c r="T509" s="874"/>
      <c r="W509" s="874"/>
      <c r="X509" s="874"/>
      <c r="Y509" s="874"/>
      <c r="Z509" s="874"/>
      <c r="AA509" s="874"/>
      <c r="AD509" s="526"/>
      <c r="AE509" s="526"/>
      <c r="AF509" s="526"/>
      <c r="AG509" s="526"/>
      <c r="AH509" s="526"/>
      <c r="AI509" s="526"/>
      <c r="AJ509" s="526"/>
      <c r="AK509" s="526"/>
      <c r="AL509" s="526"/>
      <c r="AM509" s="526"/>
      <c r="AN509" s="526"/>
      <c r="AO509" s="526"/>
      <c r="AP509" s="526"/>
      <c r="AQ509" s="526"/>
      <c r="AR509" s="526"/>
      <c r="AS509" s="526"/>
      <c r="AT509" s="526"/>
      <c r="AU509" s="526"/>
      <c r="AV509" s="526"/>
      <c r="AW509" s="526"/>
      <c r="AX509" s="526"/>
      <c r="AY509" s="526"/>
      <c r="AZ509" s="526"/>
      <c r="BA509" s="526"/>
      <c r="BB509" s="526"/>
      <c r="BC509" s="526"/>
      <c r="BD509" s="526"/>
      <c r="BE509" s="526"/>
      <c r="BF509" s="526"/>
      <c r="BG509" s="526"/>
    </row>
    <row r="510" spans="1:59" s="830" customFormat="1" ht="17.25" customHeight="1" x14ac:dyDescent="0.25">
      <c r="A510" s="865"/>
      <c r="B510" s="865"/>
      <c r="C510" s="908"/>
      <c r="G510" s="865"/>
      <c r="H510" s="874"/>
      <c r="I510" s="869"/>
      <c r="J510" s="869"/>
      <c r="K510" s="869"/>
      <c r="L510" s="869"/>
      <c r="M510" s="874"/>
      <c r="O510" s="874"/>
      <c r="P510" s="874"/>
      <c r="Q510" s="874"/>
      <c r="R510" s="874"/>
      <c r="S510" s="874"/>
      <c r="T510" s="874"/>
      <c r="W510" s="874"/>
      <c r="X510" s="874"/>
      <c r="Y510" s="874"/>
      <c r="Z510" s="874"/>
      <c r="AA510" s="874"/>
      <c r="AD510" s="526"/>
      <c r="AE510" s="526"/>
      <c r="AF510" s="526"/>
      <c r="AG510" s="526"/>
      <c r="AH510" s="526"/>
      <c r="AI510" s="526"/>
      <c r="AJ510" s="526"/>
      <c r="AK510" s="526"/>
      <c r="AL510" s="526"/>
      <c r="AM510" s="526"/>
      <c r="AN510" s="526"/>
      <c r="AO510" s="526"/>
      <c r="AP510" s="526"/>
      <c r="AQ510" s="526"/>
      <c r="AR510" s="526"/>
      <c r="AS510" s="526"/>
      <c r="AT510" s="526"/>
      <c r="AU510" s="526"/>
      <c r="AV510" s="526"/>
      <c r="AW510" s="526"/>
      <c r="AX510" s="526"/>
      <c r="AY510" s="526"/>
      <c r="AZ510" s="526"/>
      <c r="BA510" s="526"/>
      <c r="BB510" s="526"/>
      <c r="BC510" s="526"/>
      <c r="BD510" s="526"/>
      <c r="BE510" s="526"/>
      <c r="BF510" s="526"/>
      <c r="BG510" s="526"/>
    </row>
    <row r="511" spans="1:59" s="830" customFormat="1" ht="17.25" customHeight="1" x14ac:dyDescent="0.25">
      <c r="A511" s="865"/>
      <c r="B511" s="865"/>
      <c r="C511" s="908"/>
      <c r="G511" s="865"/>
      <c r="H511" s="874"/>
      <c r="I511" s="869"/>
      <c r="J511" s="869"/>
      <c r="K511" s="869"/>
      <c r="L511" s="869"/>
      <c r="M511" s="874"/>
      <c r="O511" s="874"/>
      <c r="P511" s="874"/>
      <c r="Q511" s="874"/>
      <c r="R511" s="874"/>
      <c r="S511" s="874"/>
      <c r="T511" s="874"/>
      <c r="W511" s="874"/>
      <c r="X511" s="874"/>
      <c r="Y511" s="874"/>
      <c r="Z511" s="874"/>
      <c r="AA511" s="874"/>
      <c r="AD511" s="526"/>
      <c r="AE511" s="526"/>
      <c r="AF511" s="526"/>
      <c r="AG511" s="526"/>
      <c r="AH511" s="526"/>
      <c r="AI511" s="526"/>
      <c r="AJ511" s="526"/>
      <c r="AK511" s="526"/>
      <c r="AL511" s="526"/>
      <c r="AM511" s="526"/>
      <c r="AN511" s="526"/>
      <c r="AO511" s="526"/>
      <c r="AP511" s="526"/>
      <c r="AQ511" s="526"/>
      <c r="AR511" s="526"/>
      <c r="AS511" s="526"/>
      <c r="AT511" s="526"/>
      <c r="AU511" s="526"/>
      <c r="AV511" s="526"/>
      <c r="AW511" s="526"/>
      <c r="AX511" s="526"/>
      <c r="AY511" s="526"/>
      <c r="AZ511" s="526"/>
      <c r="BA511" s="526"/>
      <c r="BB511" s="526"/>
      <c r="BC511" s="526"/>
      <c r="BD511" s="526"/>
      <c r="BE511" s="526"/>
      <c r="BF511" s="526"/>
      <c r="BG511" s="526"/>
    </row>
    <row r="512" spans="1:59" s="830" customFormat="1" ht="17.25" customHeight="1" x14ac:dyDescent="0.25">
      <c r="A512" s="865"/>
      <c r="B512" s="865"/>
      <c r="C512" s="908"/>
      <c r="G512" s="865"/>
      <c r="H512" s="874"/>
      <c r="I512" s="869"/>
      <c r="J512" s="869"/>
      <c r="K512" s="869"/>
      <c r="L512" s="869"/>
      <c r="M512" s="874"/>
      <c r="O512" s="874"/>
      <c r="P512" s="874"/>
      <c r="Q512" s="874"/>
      <c r="R512" s="874"/>
      <c r="S512" s="874"/>
      <c r="T512" s="874"/>
      <c r="W512" s="874"/>
      <c r="X512" s="874"/>
      <c r="Y512" s="874"/>
      <c r="Z512" s="874"/>
      <c r="AA512" s="874"/>
      <c r="AD512" s="526"/>
      <c r="AE512" s="526"/>
      <c r="AF512" s="526"/>
      <c r="AG512" s="526"/>
      <c r="AH512" s="526"/>
      <c r="AI512" s="526"/>
      <c r="AJ512" s="526"/>
      <c r="AK512" s="526"/>
      <c r="AL512" s="526"/>
      <c r="AM512" s="526"/>
      <c r="AN512" s="526"/>
      <c r="AO512" s="526"/>
      <c r="AP512" s="526"/>
      <c r="AQ512" s="526"/>
      <c r="AR512" s="526"/>
      <c r="AS512" s="526"/>
      <c r="AT512" s="526"/>
      <c r="AU512" s="526"/>
      <c r="AV512" s="526"/>
      <c r="AW512" s="526"/>
      <c r="AX512" s="526"/>
      <c r="AY512" s="526"/>
      <c r="AZ512" s="526"/>
      <c r="BA512" s="526"/>
      <c r="BB512" s="526"/>
      <c r="BC512" s="526"/>
      <c r="BD512" s="526"/>
      <c r="BE512" s="526"/>
      <c r="BF512" s="526"/>
      <c r="BG512" s="526"/>
    </row>
    <row r="513" spans="1:59" s="830" customFormat="1" ht="17.25" customHeight="1" x14ac:dyDescent="0.25">
      <c r="A513" s="865"/>
      <c r="B513" s="865"/>
      <c r="C513" s="908"/>
      <c r="G513" s="865"/>
      <c r="H513" s="874"/>
      <c r="I513" s="869"/>
      <c r="J513" s="869"/>
      <c r="K513" s="869"/>
      <c r="L513" s="869"/>
      <c r="M513" s="874"/>
      <c r="O513" s="874"/>
      <c r="P513" s="874"/>
      <c r="Q513" s="874"/>
      <c r="R513" s="874"/>
      <c r="S513" s="874"/>
      <c r="T513" s="874"/>
      <c r="W513" s="874"/>
      <c r="X513" s="874"/>
      <c r="Y513" s="874"/>
      <c r="Z513" s="874"/>
      <c r="AA513" s="874"/>
      <c r="AD513" s="526"/>
      <c r="AE513" s="526"/>
      <c r="AF513" s="526"/>
      <c r="AG513" s="526"/>
      <c r="AH513" s="526"/>
      <c r="AI513" s="526"/>
      <c r="AJ513" s="526"/>
      <c r="AK513" s="526"/>
      <c r="AL513" s="526"/>
      <c r="AM513" s="526"/>
      <c r="AN513" s="526"/>
      <c r="AO513" s="526"/>
      <c r="AP513" s="526"/>
      <c r="AQ513" s="526"/>
      <c r="AR513" s="526"/>
      <c r="AS513" s="526"/>
      <c r="AT513" s="526"/>
      <c r="AU513" s="526"/>
      <c r="AV513" s="526"/>
      <c r="AW513" s="526"/>
      <c r="AX513" s="526"/>
      <c r="AY513" s="526"/>
      <c r="AZ513" s="526"/>
      <c r="BA513" s="526"/>
      <c r="BB513" s="526"/>
      <c r="BC513" s="526"/>
      <c r="BD513" s="526"/>
      <c r="BE513" s="526"/>
      <c r="BF513" s="526"/>
      <c r="BG513" s="526"/>
    </row>
    <row r="514" spans="1:59" s="830" customFormat="1" ht="17.25" customHeight="1" x14ac:dyDescent="0.25">
      <c r="A514" s="865"/>
      <c r="B514" s="865"/>
      <c r="C514" s="908"/>
      <c r="G514" s="865"/>
      <c r="H514" s="874"/>
      <c r="I514" s="869"/>
      <c r="J514" s="869"/>
      <c r="K514" s="869"/>
      <c r="L514" s="869"/>
      <c r="M514" s="874"/>
      <c r="O514" s="874"/>
      <c r="P514" s="874"/>
      <c r="Q514" s="874"/>
      <c r="R514" s="874"/>
      <c r="S514" s="874"/>
      <c r="T514" s="874"/>
      <c r="W514" s="874"/>
      <c r="X514" s="874"/>
      <c r="Y514" s="874"/>
      <c r="Z514" s="874"/>
      <c r="AA514" s="874"/>
      <c r="AD514" s="526"/>
      <c r="AE514" s="526"/>
      <c r="AF514" s="526"/>
      <c r="AG514" s="526"/>
      <c r="AH514" s="526"/>
      <c r="AI514" s="526"/>
      <c r="AJ514" s="526"/>
      <c r="AK514" s="526"/>
      <c r="AL514" s="526"/>
      <c r="AM514" s="526"/>
      <c r="AN514" s="526"/>
      <c r="AO514" s="526"/>
      <c r="AP514" s="526"/>
      <c r="AQ514" s="526"/>
      <c r="AR514" s="526"/>
      <c r="AS514" s="526"/>
      <c r="AT514" s="526"/>
      <c r="AU514" s="526"/>
      <c r="AV514" s="526"/>
      <c r="AW514" s="526"/>
      <c r="AX514" s="526"/>
      <c r="AY514" s="526"/>
      <c r="AZ514" s="526"/>
      <c r="BA514" s="526"/>
      <c r="BB514" s="526"/>
      <c r="BC514" s="526"/>
      <c r="BD514" s="526"/>
      <c r="BE514" s="526"/>
      <c r="BF514" s="526"/>
      <c r="BG514" s="526"/>
    </row>
    <row r="515" spans="1:59" s="830" customFormat="1" ht="17.25" customHeight="1" x14ac:dyDescent="0.25">
      <c r="A515" s="865"/>
      <c r="B515" s="865"/>
      <c r="C515" s="908"/>
      <c r="G515" s="865"/>
      <c r="H515" s="874"/>
      <c r="I515" s="869"/>
      <c r="J515" s="869"/>
      <c r="K515" s="869"/>
      <c r="L515" s="869"/>
      <c r="M515" s="874"/>
      <c r="O515" s="874"/>
      <c r="P515" s="874"/>
      <c r="Q515" s="874"/>
      <c r="R515" s="874"/>
      <c r="S515" s="874"/>
      <c r="T515" s="874"/>
      <c r="W515" s="874"/>
      <c r="X515" s="874"/>
      <c r="Y515" s="874"/>
      <c r="Z515" s="874"/>
      <c r="AA515" s="874"/>
      <c r="AD515" s="526"/>
      <c r="AE515" s="526"/>
      <c r="AF515" s="526"/>
      <c r="AG515" s="526"/>
      <c r="AH515" s="526"/>
      <c r="AI515" s="526"/>
      <c r="AJ515" s="526"/>
      <c r="AK515" s="526"/>
      <c r="AL515" s="526"/>
      <c r="AM515" s="526"/>
      <c r="AN515" s="526"/>
      <c r="AO515" s="526"/>
      <c r="AP515" s="526"/>
      <c r="AQ515" s="526"/>
      <c r="AR515" s="526"/>
      <c r="AS515" s="526"/>
      <c r="AT515" s="526"/>
      <c r="AU515" s="526"/>
      <c r="AV515" s="526"/>
      <c r="AW515" s="526"/>
      <c r="AX515" s="526"/>
      <c r="AY515" s="526"/>
      <c r="AZ515" s="526"/>
      <c r="BA515" s="526"/>
      <c r="BB515" s="526"/>
      <c r="BC515" s="526"/>
      <c r="BD515" s="526"/>
      <c r="BE515" s="526"/>
      <c r="BF515" s="526"/>
      <c r="BG515" s="526"/>
    </row>
    <row r="516" spans="1:59" s="830" customFormat="1" ht="17.25" customHeight="1" x14ac:dyDescent="0.25">
      <c r="A516" s="865"/>
      <c r="B516" s="865"/>
      <c r="C516" s="908"/>
      <c r="G516" s="865"/>
      <c r="H516" s="874"/>
      <c r="I516" s="869"/>
      <c r="J516" s="869"/>
      <c r="K516" s="869"/>
      <c r="L516" s="869"/>
      <c r="M516" s="874"/>
      <c r="O516" s="874"/>
      <c r="P516" s="874"/>
      <c r="Q516" s="874"/>
      <c r="R516" s="874"/>
      <c r="S516" s="874"/>
      <c r="T516" s="874"/>
      <c r="W516" s="874"/>
      <c r="X516" s="874"/>
      <c r="Y516" s="874"/>
      <c r="Z516" s="874"/>
      <c r="AA516" s="874"/>
      <c r="AD516" s="526"/>
      <c r="AE516" s="526"/>
      <c r="AF516" s="526"/>
      <c r="AG516" s="526"/>
      <c r="AH516" s="526"/>
      <c r="AI516" s="526"/>
      <c r="AJ516" s="526"/>
      <c r="AK516" s="526"/>
      <c r="AL516" s="526"/>
      <c r="AM516" s="526"/>
      <c r="AN516" s="526"/>
      <c r="AO516" s="526"/>
      <c r="AP516" s="526"/>
      <c r="AQ516" s="526"/>
      <c r="AR516" s="526"/>
      <c r="AS516" s="526"/>
      <c r="AT516" s="526"/>
      <c r="AU516" s="526"/>
      <c r="AV516" s="526"/>
      <c r="AW516" s="526"/>
      <c r="AX516" s="526"/>
      <c r="AY516" s="526"/>
      <c r="AZ516" s="526"/>
      <c r="BA516" s="526"/>
      <c r="BB516" s="526"/>
      <c r="BC516" s="526"/>
      <c r="BD516" s="526"/>
      <c r="BE516" s="526"/>
      <c r="BF516" s="526"/>
      <c r="BG516" s="526"/>
    </row>
    <row r="517" spans="1:59" s="830" customFormat="1" ht="17.25" customHeight="1" x14ac:dyDescent="0.25">
      <c r="A517" s="865"/>
      <c r="B517" s="865"/>
      <c r="C517" s="908"/>
      <c r="G517" s="865"/>
      <c r="H517" s="874"/>
      <c r="I517" s="869"/>
      <c r="J517" s="869"/>
      <c r="K517" s="869"/>
      <c r="L517" s="869"/>
      <c r="M517" s="874"/>
      <c r="O517" s="874"/>
      <c r="P517" s="874"/>
      <c r="Q517" s="874"/>
      <c r="R517" s="874"/>
      <c r="S517" s="874"/>
      <c r="T517" s="874"/>
      <c r="W517" s="874"/>
      <c r="X517" s="874"/>
      <c r="Y517" s="874"/>
      <c r="Z517" s="874"/>
      <c r="AA517" s="874"/>
      <c r="AD517" s="526"/>
      <c r="AE517" s="526"/>
      <c r="AF517" s="526"/>
      <c r="AG517" s="526"/>
      <c r="AH517" s="526"/>
      <c r="AI517" s="526"/>
      <c r="AJ517" s="526"/>
      <c r="AK517" s="526"/>
      <c r="AL517" s="526"/>
      <c r="AM517" s="526"/>
      <c r="AN517" s="526"/>
      <c r="AO517" s="526"/>
      <c r="AP517" s="526"/>
      <c r="AQ517" s="526"/>
      <c r="AR517" s="526"/>
      <c r="AS517" s="526"/>
      <c r="AT517" s="526"/>
      <c r="AU517" s="526"/>
      <c r="AV517" s="526"/>
      <c r="AW517" s="526"/>
      <c r="AX517" s="526"/>
      <c r="AY517" s="526"/>
      <c r="AZ517" s="526"/>
      <c r="BA517" s="526"/>
      <c r="BB517" s="526"/>
      <c r="BC517" s="526"/>
      <c r="BD517" s="526"/>
      <c r="BE517" s="526"/>
      <c r="BF517" s="526"/>
      <c r="BG517" s="526"/>
    </row>
    <row r="518" spans="1:59" s="830" customFormat="1" ht="17.25" customHeight="1" x14ac:dyDescent="0.25">
      <c r="A518" s="865"/>
      <c r="B518" s="865"/>
      <c r="C518" s="908"/>
      <c r="G518" s="865"/>
      <c r="H518" s="874"/>
      <c r="I518" s="869"/>
      <c r="J518" s="869"/>
      <c r="K518" s="869"/>
      <c r="L518" s="869"/>
      <c r="M518" s="874"/>
      <c r="O518" s="874"/>
      <c r="P518" s="874"/>
      <c r="Q518" s="874"/>
      <c r="R518" s="874"/>
      <c r="S518" s="874"/>
      <c r="T518" s="874"/>
      <c r="W518" s="874"/>
      <c r="X518" s="874"/>
      <c r="Y518" s="874"/>
      <c r="Z518" s="874"/>
      <c r="AA518" s="874"/>
      <c r="AD518" s="526"/>
      <c r="AE518" s="526"/>
      <c r="AF518" s="526"/>
      <c r="AG518" s="526"/>
      <c r="AH518" s="526"/>
      <c r="AI518" s="526"/>
      <c r="AJ518" s="526"/>
      <c r="AK518" s="526"/>
      <c r="AL518" s="526"/>
      <c r="AM518" s="526"/>
      <c r="AN518" s="526"/>
      <c r="AO518" s="526"/>
      <c r="AP518" s="526"/>
      <c r="AQ518" s="526"/>
      <c r="AR518" s="526"/>
      <c r="AS518" s="526"/>
      <c r="AT518" s="526"/>
      <c r="AU518" s="526"/>
      <c r="AV518" s="526"/>
      <c r="AW518" s="526"/>
      <c r="AX518" s="526"/>
      <c r="AY518" s="526"/>
      <c r="AZ518" s="526"/>
      <c r="BA518" s="526"/>
      <c r="BB518" s="526"/>
      <c r="BC518" s="526"/>
      <c r="BD518" s="526"/>
      <c r="BE518" s="526"/>
      <c r="BF518" s="526"/>
      <c r="BG518" s="526"/>
    </row>
    <row r="519" spans="1:59" s="830" customFormat="1" ht="17.25" customHeight="1" x14ac:dyDescent="0.25">
      <c r="A519" s="865"/>
      <c r="B519" s="865"/>
      <c r="C519" s="908"/>
      <c r="G519" s="865"/>
      <c r="H519" s="874"/>
      <c r="I519" s="869"/>
      <c r="J519" s="869"/>
      <c r="K519" s="869"/>
      <c r="L519" s="869"/>
      <c r="M519" s="874"/>
      <c r="O519" s="874"/>
      <c r="P519" s="874"/>
      <c r="Q519" s="874"/>
      <c r="R519" s="874"/>
      <c r="S519" s="874"/>
      <c r="T519" s="874"/>
      <c r="W519" s="874"/>
      <c r="X519" s="874"/>
      <c r="Y519" s="874"/>
      <c r="Z519" s="874"/>
      <c r="AA519" s="874"/>
      <c r="AD519" s="526"/>
      <c r="AE519" s="526"/>
      <c r="AF519" s="526"/>
      <c r="AG519" s="526"/>
      <c r="AH519" s="526"/>
      <c r="AI519" s="526"/>
      <c r="AJ519" s="526"/>
      <c r="AK519" s="526"/>
      <c r="AL519" s="526"/>
      <c r="AM519" s="526"/>
      <c r="AN519" s="526"/>
      <c r="AO519" s="526"/>
      <c r="AP519" s="526"/>
      <c r="AQ519" s="526"/>
      <c r="AR519" s="526"/>
      <c r="AS519" s="526"/>
      <c r="AT519" s="526"/>
      <c r="AU519" s="526"/>
      <c r="AV519" s="526"/>
      <c r="AW519" s="526"/>
      <c r="AX519" s="526"/>
      <c r="AY519" s="526"/>
      <c r="AZ519" s="526"/>
      <c r="BA519" s="526"/>
      <c r="BB519" s="526"/>
      <c r="BC519" s="526"/>
      <c r="BD519" s="526"/>
      <c r="BE519" s="526"/>
      <c r="BF519" s="526"/>
      <c r="BG519" s="526"/>
    </row>
    <row r="520" spans="1:59" s="830" customFormat="1" ht="17.25" customHeight="1" x14ac:dyDescent="0.25">
      <c r="A520" s="865"/>
      <c r="B520" s="865"/>
      <c r="C520" s="908"/>
      <c r="G520" s="865"/>
      <c r="H520" s="874"/>
      <c r="I520" s="869"/>
      <c r="J520" s="869"/>
      <c r="K520" s="869"/>
      <c r="L520" s="869"/>
      <c r="M520" s="874"/>
      <c r="O520" s="874"/>
      <c r="P520" s="874"/>
      <c r="Q520" s="874"/>
      <c r="R520" s="874"/>
      <c r="S520" s="874"/>
      <c r="T520" s="874"/>
      <c r="W520" s="874"/>
      <c r="X520" s="874"/>
      <c r="Y520" s="874"/>
      <c r="Z520" s="874"/>
      <c r="AA520" s="874"/>
      <c r="AD520" s="526"/>
      <c r="AE520" s="526"/>
      <c r="AF520" s="526"/>
      <c r="AG520" s="526"/>
      <c r="AH520" s="526"/>
      <c r="AI520" s="526"/>
      <c r="AJ520" s="526"/>
      <c r="AK520" s="526"/>
      <c r="AL520" s="526"/>
      <c r="AM520" s="526"/>
      <c r="AN520" s="526"/>
      <c r="AO520" s="526"/>
      <c r="AP520" s="526"/>
      <c r="AQ520" s="526"/>
      <c r="AR520" s="526"/>
      <c r="AS520" s="526"/>
      <c r="AT520" s="526"/>
      <c r="AU520" s="526"/>
      <c r="AV520" s="526"/>
      <c r="AW520" s="526"/>
      <c r="AX520" s="526"/>
      <c r="AY520" s="526"/>
      <c r="AZ520" s="526"/>
      <c r="BA520" s="526"/>
      <c r="BB520" s="526"/>
      <c r="BC520" s="526"/>
      <c r="BD520" s="526"/>
      <c r="BE520" s="526"/>
      <c r="BF520" s="526"/>
      <c r="BG520" s="526"/>
    </row>
    <row r="521" spans="1:59" s="830" customFormat="1" ht="17.25" customHeight="1" x14ac:dyDescent="0.25">
      <c r="A521" s="865"/>
      <c r="B521" s="865"/>
      <c r="C521" s="908"/>
      <c r="G521" s="865"/>
      <c r="H521" s="874"/>
      <c r="I521" s="869"/>
      <c r="J521" s="869"/>
      <c r="K521" s="869"/>
      <c r="L521" s="869"/>
      <c r="M521" s="874"/>
      <c r="O521" s="874"/>
      <c r="P521" s="874"/>
      <c r="Q521" s="874"/>
      <c r="R521" s="874"/>
      <c r="S521" s="874"/>
      <c r="T521" s="874"/>
      <c r="W521" s="874"/>
      <c r="X521" s="874"/>
      <c r="Y521" s="874"/>
      <c r="Z521" s="874"/>
      <c r="AA521" s="874"/>
      <c r="AD521" s="526"/>
      <c r="AE521" s="526"/>
      <c r="AF521" s="526"/>
      <c r="AG521" s="526"/>
      <c r="AH521" s="526"/>
      <c r="AI521" s="526"/>
      <c r="AJ521" s="526"/>
      <c r="AK521" s="526"/>
      <c r="AL521" s="526"/>
      <c r="AM521" s="526"/>
      <c r="AN521" s="526"/>
      <c r="AO521" s="526"/>
      <c r="AP521" s="526"/>
      <c r="AQ521" s="526"/>
      <c r="AR521" s="526"/>
      <c r="AS521" s="526"/>
      <c r="AT521" s="526"/>
      <c r="AU521" s="526"/>
      <c r="AV521" s="526"/>
      <c r="AW521" s="526"/>
      <c r="AX521" s="526"/>
      <c r="AY521" s="526"/>
      <c r="AZ521" s="526"/>
      <c r="BA521" s="526"/>
      <c r="BB521" s="526"/>
      <c r="BC521" s="526"/>
      <c r="BD521" s="526"/>
      <c r="BE521" s="526"/>
      <c r="BF521" s="526"/>
      <c r="BG521" s="526"/>
    </row>
    <row r="522" spans="1:59" s="830" customFormat="1" ht="17.25" customHeight="1" x14ac:dyDescent="0.25">
      <c r="A522" s="865"/>
      <c r="B522" s="865"/>
      <c r="C522" s="908"/>
      <c r="G522" s="865"/>
      <c r="H522" s="874"/>
      <c r="I522" s="869"/>
      <c r="J522" s="869"/>
      <c r="K522" s="869"/>
      <c r="L522" s="869"/>
      <c r="M522" s="874"/>
      <c r="O522" s="874"/>
      <c r="P522" s="874"/>
      <c r="Q522" s="874"/>
      <c r="R522" s="874"/>
      <c r="S522" s="874"/>
      <c r="T522" s="874"/>
      <c r="W522" s="874"/>
      <c r="X522" s="874"/>
      <c r="Y522" s="874"/>
      <c r="Z522" s="874"/>
      <c r="AA522" s="874"/>
      <c r="AD522" s="526"/>
      <c r="AE522" s="526"/>
      <c r="AF522" s="526"/>
      <c r="AG522" s="526"/>
      <c r="AH522" s="526"/>
      <c r="AI522" s="526"/>
      <c r="AJ522" s="526"/>
      <c r="AK522" s="526"/>
      <c r="AL522" s="526"/>
      <c r="AM522" s="526"/>
      <c r="AN522" s="526"/>
      <c r="AO522" s="526"/>
      <c r="AP522" s="526"/>
      <c r="AQ522" s="526"/>
      <c r="AR522" s="526"/>
      <c r="AS522" s="526"/>
      <c r="AT522" s="526"/>
      <c r="AU522" s="526"/>
      <c r="AV522" s="526"/>
      <c r="AW522" s="526"/>
      <c r="AX522" s="526"/>
      <c r="AY522" s="526"/>
      <c r="AZ522" s="526"/>
      <c r="BA522" s="526"/>
      <c r="BB522" s="526"/>
      <c r="BC522" s="526"/>
      <c r="BD522" s="526"/>
      <c r="BE522" s="526"/>
      <c r="BF522" s="526"/>
      <c r="BG522" s="526"/>
    </row>
    <row r="523" spans="1:59" s="830" customFormat="1" ht="17.25" customHeight="1" x14ac:dyDescent="0.25">
      <c r="A523" s="865"/>
      <c r="B523" s="865"/>
      <c r="C523" s="908"/>
      <c r="G523" s="865"/>
      <c r="H523" s="874"/>
      <c r="I523" s="869"/>
      <c r="J523" s="869"/>
      <c r="K523" s="869"/>
      <c r="L523" s="869"/>
      <c r="M523" s="874"/>
      <c r="O523" s="874"/>
      <c r="P523" s="874"/>
      <c r="Q523" s="874"/>
      <c r="R523" s="874"/>
      <c r="S523" s="874"/>
      <c r="T523" s="874"/>
      <c r="W523" s="874"/>
      <c r="X523" s="874"/>
      <c r="Y523" s="874"/>
      <c r="Z523" s="874"/>
      <c r="AA523" s="874"/>
      <c r="AD523" s="526"/>
      <c r="AE523" s="526"/>
      <c r="AF523" s="526"/>
      <c r="AG523" s="526"/>
      <c r="AH523" s="526"/>
      <c r="AI523" s="526"/>
      <c r="AJ523" s="526"/>
      <c r="AK523" s="526"/>
      <c r="AL523" s="526"/>
      <c r="AM523" s="526"/>
      <c r="AN523" s="526"/>
      <c r="AO523" s="526"/>
      <c r="AP523" s="526"/>
      <c r="AQ523" s="526"/>
      <c r="AR523" s="526"/>
      <c r="AS523" s="526"/>
      <c r="AT523" s="526"/>
      <c r="AU523" s="526"/>
      <c r="AV523" s="526"/>
      <c r="AW523" s="526"/>
      <c r="AX523" s="526"/>
      <c r="AY523" s="526"/>
      <c r="AZ523" s="526"/>
      <c r="BA523" s="526"/>
      <c r="BB523" s="526"/>
      <c r="BC523" s="526"/>
      <c r="BD523" s="526"/>
      <c r="BE523" s="526"/>
      <c r="BF523" s="526"/>
      <c r="BG523" s="526"/>
    </row>
    <row r="524" spans="1:59" s="830" customFormat="1" ht="17.25" customHeight="1" x14ac:dyDescent="0.25">
      <c r="A524" s="865"/>
      <c r="B524" s="865"/>
      <c r="C524" s="908"/>
      <c r="G524" s="865"/>
      <c r="H524" s="874"/>
      <c r="I524" s="869"/>
      <c r="J524" s="869"/>
      <c r="K524" s="869"/>
      <c r="L524" s="869"/>
      <c r="M524" s="874"/>
      <c r="O524" s="874"/>
      <c r="P524" s="874"/>
      <c r="Q524" s="874"/>
      <c r="R524" s="874"/>
      <c r="S524" s="874"/>
      <c r="T524" s="874"/>
      <c r="W524" s="874"/>
      <c r="X524" s="874"/>
      <c r="Y524" s="874"/>
      <c r="Z524" s="874"/>
      <c r="AA524" s="874"/>
      <c r="AD524" s="526"/>
      <c r="AE524" s="526"/>
      <c r="AF524" s="526"/>
      <c r="AG524" s="526"/>
      <c r="AH524" s="526"/>
      <c r="AI524" s="526"/>
      <c r="AJ524" s="526"/>
      <c r="AK524" s="526"/>
      <c r="AL524" s="526"/>
      <c r="AM524" s="526"/>
      <c r="AN524" s="526"/>
      <c r="AO524" s="526"/>
      <c r="AP524" s="526"/>
      <c r="AQ524" s="526"/>
      <c r="AR524" s="526"/>
      <c r="AS524" s="526"/>
      <c r="AT524" s="526"/>
      <c r="AU524" s="526"/>
      <c r="AV524" s="526"/>
      <c r="AW524" s="526"/>
      <c r="AX524" s="526"/>
      <c r="AY524" s="526"/>
      <c r="AZ524" s="526"/>
      <c r="BA524" s="526"/>
      <c r="BB524" s="526"/>
      <c r="BC524" s="526"/>
      <c r="BD524" s="526"/>
      <c r="BE524" s="526"/>
      <c r="BF524" s="526"/>
      <c r="BG524" s="526"/>
    </row>
    <row r="525" spans="1:59" s="830" customFormat="1" ht="17.25" customHeight="1" x14ac:dyDescent="0.25">
      <c r="A525" s="865"/>
      <c r="B525" s="865"/>
      <c r="C525" s="908"/>
      <c r="G525" s="865"/>
      <c r="H525" s="874"/>
      <c r="I525" s="869"/>
      <c r="J525" s="869"/>
      <c r="K525" s="869"/>
      <c r="L525" s="869"/>
      <c r="M525" s="874"/>
      <c r="O525" s="874"/>
      <c r="P525" s="874"/>
      <c r="Q525" s="874"/>
      <c r="R525" s="874"/>
      <c r="S525" s="874"/>
      <c r="T525" s="874"/>
      <c r="W525" s="874"/>
      <c r="X525" s="874"/>
      <c r="Y525" s="874"/>
      <c r="Z525" s="874"/>
      <c r="AA525" s="874"/>
      <c r="AD525" s="526"/>
      <c r="AE525" s="526"/>
      <c r="AF525" s="526"/>
      <c r="AG525" s="526"/>
      <c r="AH525" s="526"/>
      <c r="AI525" s="526"/>
      <c r="AJ525" s="526"/>
      <c r="AK525" s="526"/>
      <c r="AL525" s="526"/>
      <c r="AM525" s="526"/>
      <c r="AN525" s="526"/>
      <c r="AO525" s="526"/>
      <c r="AP525" s="526"/>
      <c r="AQ525" s="526"/>
      <c r="AR525" s="526"/>
      <c r="AS525" s="526"/>
      <c r="AT525" s="526"/>
      <c r="AU525" s="526"/>
      <c r="AV525" s="526"/>
      <c r="AW525" s="526"/>
      <c r="AX525" s="526"/>
      <c r="AY525" s="526"/>
      <c r="AZ525" s="526"/>
      <c r="BA525" s="526"/>
      <c r="BB525" s="526"/>
      <c r="BC525" s="526"/>
      <c r="BD525" s="526"/>
      <c r="BE525" s="526"/>
      <c r="BF525" s="526"/>
      <c r="BG525" s="526"/>
    </row>
    <row r="526" spans="1:59" s="830" customFormat="1" ht="17.25" customHeight="1" x14ac:dyDescent="0.25">
      <c r="A526" s="865"/>
      <c r="B526" s="865"/>
      <c r="C526" s="908"/>
      <c r="G526" s="865"/>
      <c r="H526" s="874"/>
      <c r="I526" s="869"/>
      <c r="J526" s="869"/>
      <c r="K526" s="869"/>
      <c r="L526" s="869"/>
      <c r="M526" s="874"/>
      <c r="O526" s="874"/>
      <c r="P526" s="874"/>
      <c r="Q526" s="874"/>
      <c r="R526" s="874"/>
      <c r="S526" s="874"/>
      <c r="T526" s="874"/>
      <c r="W526" s="874"/>
      <c r="X526" s="874"/>
      <c r="Y526" s="874"/>
      <c r="Z526" s="874"/>
      <c r="AA526" s="874"/>
      <c r="AD526" s="526"/>
      <c r="AE526" s="526"/>
      <c r="AF526" s="526"/>
      <c r="AG526" s="526"/>
      <c r="AH526" s="526"/>
      <c r="AI526" s="526"/>
      <c r="AJ526" s="526"/>
      <c r="AK526" s="526"/>
      <c r="AL526" s="526"/>
      <c r="AM526" s="526"/>
      <c r="AN526" s="526"/>
      <c r="AO526" s="526"/>
      <c r="AP526" s="526"/>
      <c r="AQ526" s="526"/>
      <c r="AR526" s="526"/>
      <c r="AS526" s="526"/>
      <c r="AT526" s="526"/>
      <c r="AU526" s="526"/>
      <c r="AV526" s="526"/>
      <c r="AW526" s="526"/>
      <c r="AX526" s="526"/>
      <c r="AY526" s="526"/>
      <c r="AZ526" s="526"/>
      <c r="BA526" s="526"/>
      <c r="BB526" s="526"/>
      <c r="BC526" s="526"/>
      <c r="BD526" s="526"/>
      <c r="BE526" s="526"/>
      <c r="BF526" s="526"/>
      <c r="BG526" s="526"/>
    </row>
    <row r="527" spans="1:59" s="830" customFormat="1" ht="17.25" customHeight="1" x14ac:dyDescent="0.25">
      <c r="A527" s="865"/>
      <c r="B527" s="865"/>
      <c r="C527" s="908"/>
      <c r="G527" s="865"/>
      <c r="H527" s="874"/>
      <c r="I527" s="869"/>
      <c r="J527" s="869"/>
      <c r="K527" s="869"/>
      <c r="L527" s="869"/>
      <c r="M527" s="874"/>
      <c r="O527" s="874"/>
      <c r="P527" s="874"/>
      <c r="Q527" s="874"/>
      <c r="R527" s="874"/>
      <c r="S527" s="874"/>
      <c r="T527" s="874"/>
      <c r="W527" s="874"/>
      <c r="X527" s="874"/>
      <c r="Y527" s="874"/>
      <c r="Z527" s="874"/>
      <c r="AA527" s="874"/>
      <c r="AD527" s="526"/>
      <c r="AE527" s="526"/>
      <c r="AF527" s="526"/>
      <c r="AG527" s="526"/>
      <c r="AH527" s="526"/>
      <c r="AI527" s="526"/>
      <c r="AJ527" s="526"/>
      <c r="AK527" s="526"/>
      <c r="AL527" s="526"/>
      <c r="AM527" s="526"/>
      <c r="AN527" s="526"/>
      <c r="AO527" s="526"/>
      <c r="AP527" s="526"/>
      <c r="AQ527" s="526"/>
      <c r="AR527" s="526"/>
      <c r="AS527" s="526"/>
      <c r="AT527" s="526"/>
      <c r="AU527" s="526"/>
      <c r="AV527" s="526"/>
      <c r="AW527" s="526"/>
      <c r="AX527" s="526"/>
      <c r="AY527" s="526"/>
      <c r="AZ527" s="526"/>
      <c r="BA527" s="526"/>
      <c r="BB527" s="526"/>
      <c r="BC527" s="526"/>
      <c r="BD527" s="526"/>
      <c r="BE527" s="526"/>
      <c r="BF527" s="526"/>
      <c r="BG527" s="526"/>
    </row>
    <row r="528" spans="1:59" s="830" customFormat="1" ht="17.25" customHeight="1" x14ac:dyDescent="0.25">
      <c r="A528" s="865"/>
      <c r="B528" s="865"/>
      <c r="C528" s="908"/>
      <c r="G528" s="865"/>
      <c r="H528" s="874"/>
      <c r="I528" s="869"/>
      <c r="J528" s="869"/>
      <c r="K528" s="869"/>
      <c r="L528" s="869"/>
      <c r="M528" s="874"/>
      <c r="O528" s="874"/>
      <c r="P528" s="874"/>
      <c r="Q528" s="874"/>
      <c r="R528" s="874"/>
      <c r="S528" s="874"/>
      <c r="T528" s="874"/>
      <c r="W528" s="874"/>
      <c r="X528" s="874"/>
      <c r="Y528" s="874"/>
      <c r="Z528" s="874"/>
      <c r="AA528" s="874"/>
      <c r="AD528" s="526"/>
      <c r="AE528" s="526"/>
      <c r="AF528" s="526"/>
      <c r="AG528" s="526"/>
      <c r="AH528" s="526"/>
      <c r="AI528" s="526"/>
      <c r="AJ528" s="526"/>
      <c r="AK528" s="526"/>
      <c r="AL528" s="526"/>
      <c r="AM528" s="526"/>
      <c r="AN528" s="526"/>
      <c r="AO528" s="526"/>
      <c r="AP528" s="526"/>
      <c r="AQ528" s="526"/>
      <c r="AR528" s="526"/>
      <c r="AS528" s="526"/>
      <c r="AT528" s="526"/>
      <c r="AU528" s="526"/>
      <c r="AV528" s="526"/>
      <c r="AW528" s="526"/>
      <c r="AX528" s="526"/>
      <c r="AY528" s="526"/>
      <c r="AZ528" s="526"/>
      <c r="BA528" s="526"/>
      <c r="BB528" s="526"/>
      <c r="BC528" s="526"/>
      <c r="BD528" s="526"/>
      <c r="BE528" s="526"/>
      <c r="BF528" s="526"/>
      <c r="BG528" s="526"/>
    </row>
    <row r="529" spans="1:59" s="830" customFormat="1" ht="17.25" customHeight="1" x14ac:dyDescent="0.25">
      <c r="A529" s="865"/>
      <c r="B529" s="865"/>
      <c r="C529" s="908"/>
      <c r="G529" s="865"/>
      <c r="H529" s="874"/>
      <c r="I529" s="869"/>
      <c r="J529" s="869"/>
      <c r="K529" s="869"/>
      <c r="L529" s="869"/>
      <c r="M529" s="874"/>
      <c r="O529" s="874"/>
      <c r="P529" s="874"/>
      <c r="Q529" s="874"/>
      <c r="R529" s="874"/>
      <c r="S529" s="874"/>
      <c r="T529" s="874"/>
      <c r="W529" s="874"/>
      <c r="X529" s="874"/>
      <c r="Y529" s="874"/>
      <c r="Z529" s="874"/>
      <c r="AA529" s="874"/>
      <c r="AD529" s="526"/>
      <c r="AE529" s="526"/>
      <c r="AF529" s="526"/>
      <c r="AG529" s="526"/>
      <c r="AH529" s="526"/>
      <c r="AI529" s="526"/>
      <c r="AJ529" s="526"/>
      <c r="AK529" s="526"/>
      <c r="AL529" s="526"/>
      <c r="AM529" s="526"/>
      <c r="AN529" s="526"/>
      <c r="AO529" s="526"/>
      <c r="AP529" s="526"/>
      <c r="AQ529" s="526"/>
      <c r="AR529" s="526"/>
      <c r="AS529" s="526"/>
      <c r="AT529" s="526"/>
      <c r="AU529" s="526"/>
      <c r="AV529" s="526"/>
      <c r="AW529" s="526"/>
      <c r="AX529" s="526"/>
      <c r="AY529" s="526"/>
      <c r="AZ529" s="526"/>
      <c r="BA529" s="526"/>
      <c r="BB529" s="526"/>
      <c r="BC529" s="526"/>
      <c r="BD529" s="526"/>
      <c r="BE529" s="526"/>
      <c r="BF529" s="526"/>
      <c r="BG529" s="526"/>
    </row>
    <row r="530" spans="1:59" s="830" customFormat="1" ht="17.25" customHeight="1" x14ac:dyDescent="0.25">
      <c r="A530" s="865"/>
      <c r="B530" s="865"/>
      <c r="C530" s="908"/>
      <c r="G530" s="865"/>
      <c r="H530" s="874"/>
      <c r="I530" s="869"/>
      <c r="J530" s="869"/>
      <c r="K530" s="869"/>
      <c r="L530" s="869"/>
      <c r="M530" s="874"/>
      <c r="O530" s="874"/>
      <c r="P530" s="874"/>
      <c r="Q530" s="874"/>
      <c r="R530" s="874"/>
      <c r="S530" s="874"/>
      <c r="T530" s="874"/>
      <c r="W530" s="874"/>
      <c r="X530" s="874"/>
      <c r="Y530" s="874"/>
      <c r="Z530" s="874"/>
      <c r="AA530" s="874"/>
      <c r="AD530" s="526"/>
      <c r="AE530" s="526"/>
      <c r="AF530" s="526"/>
      <c r="AG530" s="526"/>
      <c r="AH530" s="526"/>
      <c r="AI530" s="526"/>
      <c r="AJ530" s="526"/>
      <c r="AK530" s="526"/>
      <c r="AL530" s="526"/>
      <c r="AM530" s="526"/>
      <c r="AN530" s="526"/>
      <c r="AO530" s="526"/>
      <c r="AP530" s="526"/>
      <c r="AQ530" s="526"/>
      <c r="AR530" s="526"/>
      <c r="AS530" s="526"/>
      <c r="AT530" s="526"/>
      <c r="AU530" s="526"/>
      <c r="AV530" s="526"/>
      <c r="AW530" s="526"/>
      <c r="AX530" s="526"/>
      <c r="AY530" s="526"/>
      <c r="AZ530" s="526"/>
      <c r="BA530" s="526"/>
      <c r="BB530" s="526"/>
      <c r="BC530" s="526"/>
      <c r="BD530" s="526"/>
      <c r="BE530" s="526"/>
      <c r="BF530" s="526"/>
      <c r="BG530" s="526"/>
    </row>
    <row r="531" spans="1:59" s="830" customFormat="1" ht="17.25" customHeight="1" x14ac:dyDescent="0.25">
      <c r="A531" s="865"/>
      <c r="B531" s="865"/>
      <c r="C531" s="908"/>
      <c r="G531" s="865"/>
      <c r="H531" s="874"/>
      <c r="I531" s="869"/>
      <c r="J531" s="869"/>
      <c r="K531" s="869"/>
      <c r="L531" s="869"/>
      <c r="M531" s="874"/>
      <c r="O531" s="874"/>
      <c r="P531" s="874"/>
      <c r="Q531" s="874"/>
      <c r="R531" s="874"/>
      <c r="S531" s="874"/>
      <c r="T531" s="874"/>
      <c r="W531" s="874"/>
      <c r="X531" s="874"/>
      <c r="Y531" s="874"/>
      <c r="Z531" s="874"/>
      <c r="AA531" s="874"/>
      <c r="AD531" s="526"/>
      <c r="AE531" s="526"/>
      <c r="AF531" s="526"/>
      <c r="AG531" s="526"/>
      <c r="AH531" s="526"/>
      <c r="AI531" s="526"/>
      <c r="AJ531" s="526"/>
      <c r="AK531" s="526"/>
      <c r="AL531" s="526"/>
      <c r="AM531" s="526"/>
      <c r="AN531" s="526"/>
      <c r="AO531" s="526"/>
      <c r="AP531" s="526"/>
      <c r="AQ531" s="526"/>
      <c r="AR531" s="526"/>
      <c r="AS531" s="526"/>
      <c r="AT531" s="526"/>
      <c r="AU531" s="526"/>
      <c r="AV531" s="526"/>
      <c r="AW531" s="526"/>
      <c r="AX531" s="526"/>
      <c r="AY531" s="526"/>
      <c r="AZ531" s="526"/>
      <c r="BA531" s="526"/>
      <c r="BB531" s="526"/>
      <c r="BC531" s="526"/>
      <c r="BD531" s="526"/>
      <c r="BE531" s="526"/>
      <c r="BF531" s="526"/>
      <c r="BG531" s="526"/>
    </row>
    <row r="532" spans="1:59" s="830" customFormat="1" ht="17.25" customHeight="1" x14ac:dyDescent="0.25">
      <c r="A532" s="865"/>
      <c r="B532" s="865"/>
      <c r="C532" s="908"/>
      <c r="G532" s="865"/>
      <c r="H532" s="874"/>
      <c r="I532" s="869"/>
      <c r="J532" s="869"/>
      <c r="K532" s="869"/>
      <c r="L532" s="869"/>
      <c r="M532" s="874"/>
      <c r="O532" s="874"/>
      <c r="P532" s="874"/>
      <c r="Q532" s="874"/>
      <c r="R532" s="874"/>
      <c r="S532" s="874"/>
      <c r="T532" s="874"/>
      <c r="W532" s="874"/>
      <c r="X532" s="874"/>
      <c r="Y532" s="874"/>
      <c r="Z532" s="874"/>
      <c r="AA532" s="874"/>
      <c r="AD532" s="526"/>
      <c r="AE532" s="526"/>
      <c r="AF532" s="526"/>
      <c r="AG532" s="526"/>
      <c r="AH532" s="526"/>
      <c r="AI532" s="526"/>
      <c r="AJ532" s="526"/>
      <c r="AK532" s="526"/>
      <c r="AL532" s="526"/>
      <c r="AM532" s="526"/>
      <c r="AN532" s="526"/>
      <c r="AO532" s="526"/>
      <c r="AP532" s="526"/>
      <c r="AQ532" s="526"/>
      <c r="AR532" s="526"/>
      <c r="AS532" s="526"/>
      <c r="AT532" s="526"/>
      <c r="AU532" s="526"/>
      <c r="AV532" s="526"/>
      <c r="AW532" s="526"/>
      <c r="AX532" s="526"/>
      <c r="AY532" s="526"/>
      <c r="AZ532" s="526"/>
      <c r="BA532" s="526"/>
      <c r="BB532" s="526"/>
      <c r="BC532" s="526"/>
      <c r="BD532" s="526"/>
      <c r="BE532" s="526"/>
      <c r="BF532" s="526"/>
      <c r="BG532" s="526"/>
    </row>
    <row r="533" spans="1:59" s="830" customFormat="1" ht="17.25" customHeight="1" x14ac:dyDescent="0.25">
      <c r="A533" s="865"/>
      <c r="B533" s="865"/>
      <c r="C533" s="908"/>
      <c r="G533" s="865"/>
      <c r="H533" s="874"/>
      <c r="I533" s="869"/>
      <c r="J533" s="869"/>
      <c r="K533" s="869"/>
      <c r="L533" s="869"/>
      <c r="M533" s="874"/>
      <c r="O533" s="874"/>
      <c r="P533" s="874"/>
      <c r="Q533" s="874"/>
      <c r="R533" s="874"/>
      <c r="S533" s="874"/>
      <c r="T533" s="874"/>
      <c r="W533" s="874"/>
      <c r="X533" s="874"/>
      <c r="Y533" s="874"/>
      <c r="Z533" s="874"/>
      <c r="AA533" s="874"/>
      <c r="AD533" s="526"/>
      <c r="AE533" s="526"/>
      <c r="AF533" s="526"/>
      <c r="AG533" s="526"/>
      <c r="AH533" s="526"/>
      <c r="AI533" s="526"/>
      <c r="AJ533" s="526"/>
      <c r="AK533" s="526"/>
      <c r="AL533" s="526"/>
      <c r="AM533" s="526"/>
      <c r="AN533" s="526"/>
      <c r="AO533" s="526"/>
      <c r="AP533" s="526"/>
      <c r="AQ533" s="526"/>
      <c r="AR533" s="526"/>
      <c r="AS533" s="526"/>
      <c r="AT533" s="526"/>
      <c r="AU533" s="526"/>
      <c r="AV533" s="526"/>
      <c r="AW533" s="526"/>
      <c r="AX533" s="526"/>
      <c r="AY533" s="526"/>
      <c r="AZ533" s="526"/>
      <c r="BA533" s="526"/>
      <c r="BB533" s="526"/>
      <c r="BC533" s="526"/>
      <c r="BD533" s="526"/>
      <c r="BE533" s="526"/>
      <c r="BF533" s="526"/>
      <c r="BG533" s="526"/>
    </row>
    <row r="534" spans="1:59" s="830" customFormat="1" ht="17.25" customHeight="1" x14ac:dyDescent="0.25">
      <c r="A534" s="865"/>
      <c r="B534" s="865"/>
      <c r="C534" s="908"/>
      <c r="G534" s="865"/>
      <c r="H534" s="874"/>
      <c r="I534" s="869"/>
      <c r="J534" s="869"/>
      <c r="K534" s="869"/>
      <c r="L534" s="869"/>
      <c r="M534" s="874"/>
      <c r="O534" s="874"/>
      <c r="P534" s="874"/>
      <c r="Q534" s="874"/>
      <c r="R534" s="874"/>
      <c r="S534" s="874"/>
      <c r="T534" s="874"/>
      <c r="W534" s="874"/>
      <c r="X534" s="874"/>
      <c r="Y534" s="874"/>
      <c r="Z534" s="874"/>
      <c r="AA534" s="874"/>
      <c r="AD534" s="526"/>
      <c r="AE534" s="526"/>
      <c r="AF534" s="526"/>
      <c r="AG534" s="526"/>
      <c r="AH534" s="526"/>
      <c r="AI534" s="526"/>
      <c r="AJ534" s="526"/>
      <c r="AK534" s="526"/>
      <c r="AL534" s="526"/>
      <c r="AM534" s="526"/>
      <c r="AN534" s="526"/>
      <c r="AO534" s="526"/>
      <c r="AP534" s="526"/>
      <c r="AQ534" s="526"/>
      <c r="AR534" s="526"/>
      <c r="AS534" s="526"/>
      <c r="AT534" s="526"/>
      <c r="AU534" s="526"/>
      <c r="AV534" s="526"/>
      <c r="AW534" s="526"/>
      <c r="AX534" s="526"/>
      <c r="AY534" s="526"/>
      <c r="AZ534" s="526"/>
      <c r="BA534" s="526"/>
      <c r="BB534" s="526"/>
      <c r="BC534" s="526"/>
      <c r="BD534" s="526"/>
      <c r="BE534" s="526"/>
      <c r="BF534" s="526"/>
      <c r="BG534" s="526"/>
    </row>
    <row r="535" spans="1:59" s="830" customFormat="1" ht="17.25" customHeight="1" x14ac:dyDescent="0.25">
      <c r="A535" s="865"/>
      <c r="B535" s="865"/>
      <c r="C535" s="908"/>
      <c r="G535" s="865"/>
      <c r="H535" s="874"/>
      <c r="I535" s="869"/>
      <c r="J535" s="869"/>
      <c r="K535" s="869"/>
      <c r="L535" s="869"/>
      <c r="M535" s="874"/>
      <c r="O535" s="874"/>
      <c r="P535" s="874"/>
      <c r="Q535" s="874"/>
      <c r="R535" s="874"/>
      <c r="S535" s="874"/>
      <c r="T535" s="874"/>
      <c r="W535" s="874"/>
      <c r="X535" s="874"/>
      <c r="Y535" s="874"/>
      <c r="Z535" s="874"/>
      <c r="AA535" s="874"/>
      <c r="AD535" s="526"/>
      <c r="AE535" s="526"/>
      <c r="AF535" s="526"/>
      <c r="AG535" s="526"/>
      <c r="AH535" s="526"/>
      <c r="AI535" s="526"/>
      <c r="AJ535" s="526"/>
      <c r="AK535" s="526"/>
      <c r="AL535" s="526"/>
      <c r="AM535" s="526"/>
      <c r="AN535" s="526"/>
      <c r="AO535" s="526"/>
      <c r="AP535" s="526"/>
      <c r="AQ535" s="526"/>
      <c r="AR535" s="526"/>
      <c r="AS535" s="526"/>
      <c r="AT535" s="526"/>
      <c r="AU535" s="526"/>
      <c r="AV535" s="526"/>
      <c r="AW535" s="526"/>
      <c r="AX535" s="526"/>
      <c r="AY535" s="526"/>
      <c r="AZ535" s="526"/>
      <c r="BA535" s="526"/>
      <c r="BB535" s="526"/>
      <c r="BC535" s="526"/>
      <c r="BD535" s="526"/>
      <c r="BE535" s="526"/>
      <c r="BF535" s="526"/>
      <c r="BG535" s="526"/>
    </row>
    <row r="536" spans="1:59" s="830" customFormat="1" ht="17.25" customHeight="1" x14ac:dyDescent="0.25">
      <c r="A536" s="865"/>
      <c r="B536" s="865"/>
      <c r="C536" s="908"/>
      <c r="G536" s="865"/>
      <c r="H536" s="874"/>
      <c r="I536" s="869"/>
      <c r="J536" s="869"/>
      <c r="K536" s="869"/>
      <c r="L536" s="869"/>
      <c r="M536" s="874"/>
      <c r="O536" s="874"/>
      <c r="P536" s="874"/>
      <c r="Q536" s="874"/>
      <c r="R536" s="874"/>
      <c r="S536" s="874"/>
      <c r="T536" s="874"/>
      <c r="W536" s="874"/>
      <c r="X536" s="874"/>
      <c r="Y536" s="874"/>
      <c r="Z536" s="874"/>
      <c r="AA536" s="874"/>
      <c r="AD536" s="526"/>
      <c r="AE536" s="526"/>
      <c r="AF536" s="526"/>
      <c r="AG536" s="526"/>
      <c r="AH536" s="526"/>
      <c r="AI536" s="526"/>
      <c r="AJ536" s="526"/>
      <c r="AK536" s="526"/>
      <c r="AL536" s="526"/>
      <c r="AM536" s="526"/>
      <c r="AN536" s="526"/>
      <c r="AO536" s="526"/>
      <c r="AP536" s="526"/>
      <c r="AQ536" s="526"/>
      <c r="AR536" s="526"/>
      <c r="AS536" s="526"/>
      <c r="AT536" s="526"/>
      <c r="AU536" s="526"/>
      <c r="AV536" s="526"/>
      <c r="AW536" s="526"/>
      <c r="AX536" s="526"/>
      <c r="AY536" s="526"/>
      <c r="AZ536" s="526"/>
      <c r="BA536" s="526"/>
      <c r="BB536" s="526"/>
      <c r="BC536" s="526"/>
      <c r="BD536" s="526"/>
      <c r="BE536" s="526"/>
      <c r="BF536" s="526"/>
      <c r="BG536" s="526"/>
    </row>
    <row r="537" spans="1:59" s="830" customFormat="1" ht="17.25" customHeight="1" x14ac:dyDescent="0.25">
      <c r="A537" s="865"/>
      <c r="B537" s="865"/>
      <c r="C537" s="908"/>
      <c r="G537" s="865"/>
      <c r="H537" s="874"/>
      <c r="I537" s="869"/>
      <c r="J537" s="869"/>
      <c r="K537" s="869"/>
      <c r="L537" s="869"/>
      <c r="M537" s="874"/>
      <c r="O537" s="874"/>
      <c r="P537" s="874"/>
      <c r="Q537" s="874"/>
      <c r="R537" s="874"/>
      <c r="S537" s="874"/>
      <c r="T537" s="874"/>
      <c r="W537" s="874"/>
      <c r="X537" s="874"/>
      <c r="Y537" s="874"/>
      <c r="Z537" s="874"/>
      <c r="AA537" s="874"/>
      <c r="AD537" s="526"/>
      <c r="AE537" s="526"/>
      <c r="AF537" s="526"/>
      <c r="AG537" s="526"/>
      <c r="AH537" s="526"/>
      <c r="AI537" s="526"/>
      <c r="AJ537" s="526"/>
      <c r="AK537" s="526"/>
      <c r="AL537" s="526"/>
      <c r="AM537" s="526"/>
      <c r="AN537" s="526"/>
      <c r="AO537" s="526"/>
      <c r="AP537" s="526"/>
      <c r="AQ537" s="526"/>
      <c r="AR537" s="526"/>
      <c r="AS537" s="526"/>
      <c r="AT537" s="526"/>
      <c r="AU537" s="526"/>
      <c r="AV537" s="526"/>
      <c r="AW537" s="526"/>
      <c r="AX537" s="526"/>
      <c r="AY537" s="526"/>
      <c r="AZ537" s="526"/>
      <c r="BA537" s="526"/>
      <c r="BB537" s="526"/>
      <c r="BC537" s="526"/>
      <c r="BD537" s="526"/>
      <c r="BE537" s="526"/>
      <c r="BF537" s="526"/>
      <c r="BG537" s="526"/>
    </row>
    <row r="538" spans="1:59" s="830" customFormat="1" ht="17.25" customHeight="1" x14ac:dyDescent="0.25">
      <c r="A538" s="865"/>
      <c r="B538" s="865"/>
      <c r="C538" s="908"/>
      <c r="G538" s="865"/>
      <c r="H538" s="874"/>
      <c r="I538" s="869"/>
      <c r="J538" s="869"/>
      <c r="K538" s="869"/>
      <c r="L538" s="869"/>
      <c r="M538" s="874"/>
      <c r="O538" s="874"/>
      <c r="P538" s="874"/>
      <c r="Q538" s="874"/>
      <c r="R538" s="874"/>
      <c r="S538" s="874"/>
      <c r="T538" s="874"/>
      <c r="W538" s="874"/>
      <c r="X538" s="874"/>
      <c r="Y538" s="874"/>
      <c r="Z538" s="874"/>
      <c r="AA538" s="874"/>
      <c r="AD538" s="526"/>
      <c r="AE538" s="526"/>
      <c r="AF538" s="526"/>
      <c r="AG538" s="526"/>
      <c r="AH538" s="526"/>
      <c r="AI538" s="526"/>
      <c r="AJ538" s="526"/>
      <c r="AK538" s="526"/>
      <c r="AL538" s="526"/>
      <c r="AM538" s="526"/>
      <c r="AN538" s="526"/>
      <c r="AO538" s="526"/>
      <c r="AP538" s="526"/>
      <c r="AQ538" s="526"/>
      <c r="AR538" s="526"/>
      <c r="AS538" s="526"/>
      <c r="AT538" s="526"/>
      <c r="AU538" s="526"/>
      <c r="AV538" s="526"/>
      <c r="AW538" s="526"/>
      <c r="AX538" s="526"/>
      <c r="AY538" s="526"/>
      <c r="AZ538" s="526"/>
      <c r="BA538" s="526"/>
      <c r="BB538" s="526"/>
      <c r="BC538" s="526"/>
      <c r="BD538" s="526"/>
      <c r="BE538" s="526"/>
      <c r="BF538" s="526"/>
      <c r="BG538" s="526"/>
    </row>
    <row r="539" spans="1:59" s="830" customFormat="1" ht="17.25" customHeight="1" x14ac:dyDescent="0.25">
      <c r="A539" s="865"/>
      <c r="B539" s="865"/>
      <c r="C539" s="908"/>
      <c r="G539" s="865"/>
      <c r="H539" s="874"/>
      <c r="I539" s="869"/>
      <c r="J539" s="869"/>
      <c r="K539" s="869"/>
      <c r="L539" s="869"/>
      <c r="M539" s="874"/>
      <c r="O539" s="874"/>
      <c r="P539" s="874"/>
      <c r="Q539" s="874"/>
      <c r="R539" s="874"/>
      <c r="S539" s="874"/>
      <c r="T539" s="874"/>
      <c r="W539" s="874"/>
      <c r="X539" s="874"/>
      <c r="Y539" s="874"/>
      <c r="Z539" s="874"/>
      <c r="AA539" s="874"/>
      <c r="AD539" s="526"/>
      <c r="AE539" s="526"/>
      <c r="AF539" s="526"/>
      <c r="AG539" s="526"/>
      <c r="AH539" s="526"/>
      <c r="AI539" s="526"/>
      <c r="AJ539" s="526"/>
      <c r="AK539" s="526"/>
      <c r="AL539" s="526"/>
      <c r="AM539" s="526"/>
      <c r="AN539" s="526"/>
      <c r="AO539" s="526"/>
      <c r="AP539" s="526"/>
      <c r="AQ539" s="526"/>
      <c r="AR539" s="526"/>
      <c r="AS539" s="526"/>
      <c r="AT539" s="526"/>
      <c r="AU539" s="526"/>
      <c r="AV539" s="526"/>
      <c r="AW539" s="526"/>
      <c r="AX539" s="526"/>
      <c r="AY539" s="526"/>
      <c r="AZ539" s="526"/>
      <c r="BA539" s="526"/>
      <c r="BB539" s="526"/>
      <c r="BC539" s="526"/>
      <c r="BD539" s="526"/>
      <c r="BE539" s="526"/>
      <c r="BF539" s="526"/>
      <c r="BG539" s="526"/>
    </row>
    <row r="540" spans="1:59" s="830" customFormat="1" ht="17.25" customHeight="1" x14ac:dyDescent="0.25">
      <c r="A540" s="865"/>
      <c r="B540" s="865"/>
      <c r="C540" s="908"/>
      <c r="G540" s="865"/>
      <c r="H540" s="874"/>
      <c r="I540" s="869"/>
      <c r="J540" s="869"/>
      <c r="K540" s="869"/>
      <c r="L540" s="869"/>
      <c r="M540" s="874"/>
      <c r="O540" s="874"/>
      <c r="P540" s="874"/>
      <c r="Q540" s="874"/>
      <c r="R540" s="874"/>
      <c r="S540" s="874"/>
      <c r="T540" s="874"/>
      <c r="W540" s="874"/>
      <c r="X540" s="874"/>
      <c r="Y540" s="874"/>
      <c r="Z540" s="874"/>
      <c r="AA540" s="874"/>
      <c r="AD540" s="526"/>
      <c r="AE540" s="526"/>
      <c r="AF540" s="526"/>
      <c r="AG540" s="526"/>
      <c r="AH540" s="526"/>
      <c r="AI540" s="526"/>
      <c r="AJ540" s="526"/>
      <c r="AK540" s="526"/>
      <c r="AL540" s="526"/>
      <c r="AM540" s="526"/>
      <c r="AN540" s="526"/>
      <c r="AO540" s="526"/>
      <c r="AP540" s="526"/>
      <c r="AQ540" s="526"/>
      <c r="AR540" s="526"/>
      <c r="AS540" s="526"/>
      <c r="AT540" s="526"/>
      <c r="AU540" s="526"/>
      <c r="AV540" s="526"/>
      <c r="AW540" s="526"/>
      <c r="AX540" s="526"/>
      <c r="AY540" s="526"/>
      <c r="AZ540" s="526"/>
      <c r="BA540" s="526"/>
      <c r="BB540" s="526"/>
      <c r="BC540" s="526"/>
      <c r="BD540" s="526"/>
      <c r="BE540" s="526"/>
      <c r="BF540" s="526"/>
      <c r="BG540" s="526"/>
    </row>
    <row r="541" spans="1:59" s="830" customFormat="1" ht="17.25" customHeight="1" x14ac:dyDescent="0.25">
      <c r="A541" s="865"/>
      <c r="B541" s="865"/>
      <c r="C541" s="908"/>
      <c r="G541" s="865"/>
      <c r="H541" s="874"/>
      <c r="I541" s="869"/>
      <c r="J541" s="869"/>
      <c r="K541" s="869"/>
      <c r="L541" s="869"/>
      <c r="M541" s="874"/>
      <c r="O541" s="874"/>
      <c r="P541" s="874"/>
      <c r="Q541" s="874"/>
      <c r="R541" s="874"/>
      <c r="S541" s="874"/>
      <c r="T541" s="874"/>
      <c r="W541" s="874"/>
      <c r="X541" s="874"/>
      <c r="Y541" s="874"/>
      <c r="Z541" s="874"/>
      <c r="AA541" s="874"/>
      <c r="AD541" s="526"/>
      <c r="AE541" s="526"/>
      <c r="AF541" s="526"/>
      <c r="AG541" s="526"/>
      <c r="AH541" s="526"/>
      <c r="AI541" s="526"/>
      <c r="AJ541" s="526"/>
      <c r="AK541" s="526"/>
      <c r="AL541" s="526"/>
      <c r="AM541" s="526"/>
      <c r="AN541" s="526"/>
      <c r="AO541" s="526"/>
      <c r="AP541" s="526"/>
      <c r="AQ541" s="526"/>
      <c r="AR541" s="526"/>
      <c r="AS541" s="526"/>
      <c r="AT541" s="526"/>
      <c r="AU541" s="526"/>
      <c r="AV541" s="526"/>
      <c r="AW541" s="526"/>
      <c r="AX541" s="526"/>
      <c r="AY541" s="526"/>
      <c r="AZ541" s="526"/>
      <c r="BA541" s="526"/>
      <c r="BB541" s="526"/>
      <c r="BC541" s="526"/>
      <c r="BD541" s="526"/>
      <c r="BE541" s="526"/>
      <c r="BF541" s="526"/>
      <c r="BG541" s="526"/>
    </row>
    <row r="542" spans="1:59" s="830" customFormat="1" ht="17.25" customHeight="1" x14ac:dyDescent="0.25">
      <c r="A542" s="865"/>
      <c r="B542" s="865"/>
      <c r="C542" s="908"/>
      <c r="G542" s="865"/>
      <c r="H542" s="874"/>
      <c r="I542" s="869"/>
      <c r="J542" s="869"/>
      <c r="K542" s="869"/>
      <c r="L542" s="869"/>
      <c r="M542" s="874"/>
      <c r="O542" s="874"/>
      <c r="P542" s="874"/>
      <c r="Q542" s="874"/>
      <c r="R542" s="874"/>
      <c r="S542" s="874"/>
      <c r="T542" s="874"/>
      <c r="W542" s="874"/>
      <c r="X542" s="874"/>
      <c r="Y542" s="874"/>
      <c r="Z542" s="874"/>
      <c r="AA542" s="874"/>
      <c r="AD542" s="526"/>
      <c r="AE542" s="526"/>
      <c r="AF542" s="526"/>
      <c r="AG542" s="526"/>
      <c r="AH542" s="526"/>
      <c r="AI542" s="526"/>
      <c r="AJ542" s="526"/>
      <c r="AK542" s="526"/>
      <c r="AL542" s="526"/>
      <c r="AM542" s="526"/>
      <c r="AN542" s="526"/>
      <c r="AO542" s="526"/>
      <c r="AP542" s="526"/>
      <c r="AQ542" s="526"/>
      <c r="AR542" s="526"/>
      <c r="AS542" s="526"/>
      <c r="AT542" s="526"/>
      <c r="AU542" s="526"/>
      <c r="AV542" s="526"/>
      <c r="AW542" s="526"/>
      <c r="AX542" s="526"/>
      <c r="AY542" s="526"/>
      <c r="AZ542" s="526"/>
      <c r="BA542" s="526"/>
      <c r="BB542" s="526"/>
      <c r="BC542" s="526"/>
      <c r="BD542" s="526"/>
      <c r="BE542" s="526"/>
      <c r="BF542" s="526"/>
      <c r="BG542" s="526"/>
    </row>
    <row r="543" spans="1:59" s="830" customFormat="1" ht="17.25" customHeight="1" x14ac:dyDescent="0.25">
      <c r="A543" s="865"/>
      <c r="B543" s="865"/>
      <c r="C543" s="908"/>
      <c r="G543" s="865"/>
      <c r="H543" s="874"/>
      <c r="I543" s="869"/>
      <c r="J543" s="869"/>
      <c r="K543" s="869"/>
      <c r="L543" s="869"/>
      <c r="M543" s="874"/>
      <c r="O543" s="874"/>
      <c r="P543" s="874"/>
      <c r="Q543" s="874"/>
      <c r="R543" s="874"/>
      <c r="S543" s="874"/>
      <c r="T543" s="874"/>
      <c r="W543" s="874"/>
      <c r="X543" s="874"/>
      <c r="Y543" s="874"/>
      <c r="Z543" s="874"/>
      <c r="AA543" s="874"/>
      <c r="AD543" s="526"/>
      <c r="AE543" s="526"/>
      <c r="AF543" s="526"/>
      <c r="AG543" s="526"/>
      <c r="AH543" s="526"/>
      <c r="AI543" s="526"/>
      <c r="AJ543" s="526"/>
      <c r="AK543" s="526"/>
      <c r="AL543" s="526"/>
      <c r="AM543" s="526"/>
      <c r="AN543" s="526"/>
      <c r="AO543" s="526"/>
      <c r="AP543" s="526"/>
      <c r="AQ543" s="526"/>
      <c r="AR543" s="526"/>
      <c r="AS543" s="526"/>
      <c r="AT543" s="526"/>
      <c r="AU543" s="526"/>
      <c r="AV543" s="526"/>
      <c r="AW543" s="526"/>
      <c r="AX543" s="526"/>
      <c r="AY543" s="526"/>
      <c r="AZ543" s="526"/>
      <c r="BA543" s="526"/>
      <c r="BB543" s="526"/>
      <c r="BC543" s="526"/>
      <c r="BD543" s="526"/>
      <c r="BE543" s="526"/>
      <c r="BF543" s="526"/>
      <c r="BG543" s="526"/>
    </row>
    <row r="544" spans="1:59" s="830" customFormat="1" ht="17.25" customHeight="1" x14ac:dyDescent="0.25">
      <c r="A544" s="865"/>
      <c r="B544" s="865"/>
      <c r="C544" s="908"/>
      <c r="G544" s="865"/>
      <c r="H544" s="874"/>
      <c r="I544" s="869"/>
      <c r="J544" s="869"/>
      <c r="K544" s="869"/>
      <c r="L544" s="869"/>
      <c r="M544" s="874"/>
      <c r="O544" s="874"/>
      <c r="P544" s="874"/>
      <c r="Q544" s="874"/>
      <c r="R544" s="874"/>
      <c r="S544" s="874"/>
      <c r="T544" s="874"/>
      <c r="W544" s="874"/>
      <c r="X544" s="874"/>
      <c r="Y544" s="874"/>
      <c r="Z544" s="874"/>
      <c r="AA544" s="874"/>
      <c r="AD544" s="526"/>
      <c r="AE544" s="526"/>
      <c r="AF544" s="526"/>
      <c r="AG544" s="526"/>
      <c r="AH544" s="526"/>
      <c r="AI544" s="526"/>
      <c r="AJ544" s="526"/>
      <c r="AK544" s="526"/>
      <c r="AL544" s="526"/>
      <c r="AM544" s="526"/>
      <c r="AN544" s="526"/>
      <c r="AO544" s="526"/>
      <c r="AP544" s="526"/>
      <c r="AQ544" s="526"/>
      <c r="AR544" s="526"/>
      <c r="AS544" s="526"/>
      <c r="AT544" s="526"/>
      <c r="AU544" s="526"/>
      <c r="AV544" s="526"/>
      <c r="AW544" s="526"/>
      <c r="AX544" s="526"/>
      <c r="AY544" s="526"/>
      <c r="AZ544" s="526"/>
      <c r="BA544" s="526"/>
      <c r="BB544" s="526"/>
      <c r="BC544" s="526"/>
      <c r="BD544" s="526"/>
      <c r="BE544" s="526"/>
      <c r="BF544" s="526"/>
      <c r="BG544" s="526"/>
    </row>
    <row r="545" spans="1:59" s="830" customFormat="1" ht="17.25" customHeight="1" x14ac:dyDescent="0.25">
      <c r="A545" s="865"/>
      <c r="B545" s="865"/>
      <c r="C545" s="908"/>
      <c r="G545" s="865"/>
      <c r="H545" s="874"/>
      <c r="I545" s="869"/>
      <c r="J545" s="869"/>
      <c r="K545" s="869"/>
      <c r="L545" s="869"/>
      <c r="M545" s="874"/>
      <c r="O545" s="874"/>
      <c r="P545" s="874"/>
      <c r="Q545" s="874"/>
      <c r="R545" s="874"/>
      <c r="S545" s="874"/>
      <c r="T545" s="874"/>
      <c r="W545" s="874"/>
      <c r="X545" s="874"/>
      <c r="Y545" s="874"/>
      <c r="Z545" s="874"/>
      <c r="AA545" s="874"/>
      <c r="AD545" s="526"/>
      <c r="AE545" s="526"/>
      <c r="AF545" s="526"/>
      <c r="AG545" s="526"/>
      <c r="AH545" s="526"/>
      <c r="AI545" s="526"/>
      <c r="AJ545" s="526"/>
      <c r="AK545" s="526"/>
      <c r="AL545" s="526"/>
      <c r="AM545" s="526"/>
      <c r="AN545" s="526"/>
      <c r="AO545" s="526"/>
      <c r="AP545" s="526"/>
      <c r="AQ545" s="526"/>
      <c r="AR545" s="526"/>
      <c r="AS545" s="526"/>
      <c r="AT545" s="526"/>
      <c r="AU545" s="526"/>
      <c r="AV545" s="526"/>
      <c r="AW545" s="526"/>
      <c r="AX545" s="526"/>
      <c r="AY545" s="526"/>
      <c r="AZ545" s="526"/>
      <c r="BA545" s="526"/>
      <c r="BB545" s="526"/>
      <c r="BC545" s="526"/>
      <c r="BD545" s="526"/>
      <c r="BE545" s="526"/>
      <c r="BF545" s="526"/>
      <c r="BG545" s="526"/>
    </row>
    <row r="546" spans="1:59" s="830" customFormat="1" ht="17.25" customHeight="1" x14ac:dyDescent="0.25">
      <c r="A546" s="865"/>
      <c r="B546" s="865"/>
      <c r="C546" s="908"/>
      <c r="G546" s="865"/>
      <c r="H546" s="874"/>
      <c r="I546" s="869"/>
      <c r="J546" s="869"/>
      <c r="K546" s="869"/>
      <c r="L546" s="869"/>
      <c r="M546" s="874"/>
      <c r="O546" s="874"/>
      <c r="P546" s="874"/>
      <c r="Q546" s="874"/>
      <c r="R546" s="874"/>
      <c r="S546" s="874"/>
      <c r="T546" s="874"/>
      <c r="W546" s="874"/>
      <c r="X546" s="874"/>
      <c r="Y546" s="874"/>
      <c r="Z546" s="874"/>
      <c r="AA546" s="874"/>
      <c r="AD546" s="526"/>
      <c r="AE546" s="526"/>
      <c r="AF546" s="526"/>
      <c r="AG546" s="526"/>
      <c r="AH546" s="526"/>
      <c r="AI546" s="526"/>
      <c r="AJ546" s="526"/>
      <c r="AK546" s="526"/>
      <c r="AL546" s="526"/>
      <c r="AM546" s="526"/>
      <c r="AN546" s="526"/>
      <c r="AO546" s="526"/>
      <c r="AP546" s="526"/>
      <c r="AQ546" s="526"/>
      <c r="AR546" s="526"/>
      <c r="AS546" s="526"/>
      <c r="AT546" s="526"/>
      <c r="AU546" s="526"/>
      <c r="AV546" s="526"/>
      <c r="AW546" s="526"/>
      <c r="AX546" s="526"/>
      <c r="AY546" s="526"/>
      <c r="AZ546" s="526"/>
      <c r="BA546" s="526"/>
      <c r="BB546" s="526"/>
      <c r="BC546" s="526"/>
      <c r="BD546" s="526"/>
      <c r="BE546" s="526"/>
      <c r="BF546" s="526"/>
      <c r="BG546" s="526"/>
    </row>
    <row r="547" spans="1:59" s="830" customFormat="1" ht="17.25" customHeight="1" x14ac:dyDescent="0.25">
      <c r="A547" s="865"/>
      <c r="B547" s="865"/>
      <c r="C547" s="908"/>
      <c r="G547" s="865"/>
      <c r="H547" s="874"/>
      <c r="I547" s="869"/>
      <c r="J547" s="869"/>
      <c r="K547" s="869"/>
      <c r="L547" s="869"/>
      <c r="M547" s="874"/>
      <c r="O547" s="874"/>
      <c r="P547" s="874"/>
      <c r="Q547" s="874"/>
      <c r="R547" s="874"/>
      <c r="S547" s="874"/>
      <c r="T547" s="874"/>
      <c r="W547" s="874"/>
      <c r="X547" s="874"/>
      <c r="Y547" s="874"/>
      <c r="Z547" s="874"/>
      <c r="AA547" s="874"/>
      <c r="AD547" s="526"/>
      <c r="AE547" s="526"/>
      <c r="AF547" s="526"/>
      <c r="AG547" s="526"/>
      <c r="AH547" s="526"/>
      <c r="AI547" s="526"/>
      <c r="AJ547" s="526"/>
      <c r="AK547" s="526"/>
      <c r="AL547" s="526"/>
      <c r="AM547" s="526"/>
      <c r="AN547" s="526"/>
      <c r="AO547" s="526"/>
      <c r="AP547" s="526"/>
      <c r="AQ547" s="526"/>
      <c r="AR547" s="526"/>
      <c r="AS547" s="526"/>
      <c r="AT547" s="526"/>
      <c r="AU547" s="526"/>
      <c r="AV547" s="526"/>
      <c r="AW547" s="526"/>
      <c r="AX547" s="526"/>
      <c r="AY547" s="526"/>
      <c r="AZ547" s="526"/>
      <c r="BA547" s="526"/>
      <c r="BB547" s="526"/>
      <c r="BC547" s="526"/>
      <c r="BD547" s="526"/>
      <c r="BE547" s="526"/>
      <c r="BF547" s="526"/>
      <c r="BG547" s="526"/>
    </row>
    <row r="548" spans="1:59" s="830" customFormat="1" ht="17.25" customHeight="1" x14ac:dyDescent="0.25">
      <c r="A548" s="865"/>
      <c r="B548" s="865"/>
      <c r="C548" s="908"/>
      <c r="G548" s="865"/>
      <c r="H548" s="874"/>
      <c r="I548" s="869"/>
      <c r="J548" s="869"/>
      <c r="K548" s="869"/>
      <c r="L548" s="869"/>
      <c r="M548" s="874"/>
      <c r="O548" s="874"/>
      <c r="P548" s="874"/>
      <c r="Q548" s="874"/>
      <c r="R548" s="874"/>
      <c r="S548" s="874"/>
      <c r="T548" s="874"/>
      <c r="W548" s="874"/>
      <c r="X548" s="874"/>
      <c r="Y548" s="874"/>
      <c r="Z548" s="874"/>
      <c r="AA548" s="874"/>
      <c r="AD548" s="526"/>
      <c r="AE548" s="526"/>
      <c r="AF548" s="526"/>
      <c r="AG548" s="526"/>
      <c r="AH548" s="526"/>
      <c r="AI548" s="526"/>
      <c r="AJ548" s="526"/>
      <c r="AK548" s="526"/>
      <c r="AL548" s="526"/>
      <c r="AM548" s="526"/>
      <c r="AN548" s="526"/>
      <c r="AO548" s="526"/>
      <c r="AP548" s="526"/>
      <c r="AQ548" s="526"/>
      <c r="AR548" s="526"/>
      <c r="AS548" s="526"/>
      <c r="AT548" s="526"/>
      <c r="AU548" s="526"/>
      <c r="AV548" s="526"/>
      <c r="AW548" s="526"/>
      <c r="AX548" s="526"/>
      <c r="AY548" s="526"/>
      <c r="AZ548" s="526"/>
      <c r="BA548" s="526"/>
      <c r="BB548" s="526"/>
      <c r="BC548" s="526"/>
      <c r="BD548" s="526"/>
      <c r="BE548" s="526"/>
      <c r="BF548" s="526"/>
      <c r="BG548" s="526"/>
    </row>
    <row r="549" spans="1:59" s="830" customFormat="1" ht="17.25" customHeight="1" x14ac:dyDescent="0.25">
      <c r="A549" s="865"/>
      <c r="B549" s="865"/>
      <c r="C549" s="908"/>
      <c r="G549" s="865"/>
      <c r="H549" s="874"/>
      <c r="I549" s="869"/>
      <c r="J549" s="869"/>
      <c r="K549" s="869"/>
      <c r="L549" s="869"/>
      <c r="M549" s="874"/>
      <c r="O549" s="874"/>
      <c r="P549" s="874"/>
      <c r="Q549" s="874"/>
      <c r="R549" s="874"/>
      <c r="S549" s="874"/>
      <c r="T549" s="874"/>
      <c r="W549" s="874"/>
      <c r="X549" s="874"/>
      <c r="Y549" s="874"/>
      <c r="Z549" s="874"/>
      <c r="AA549" s="874"/>
      <c r="AD549" s="526"/>
      <c r="AE549" s="526"/>
      <c r="AF549" s="526"/>
      <c r="AG549" s="526"/>
      <c r="AH549" s="526"/>
      <c r="AI549" s="526"/>
      <c r="AJ549" s="526"/>
      <c r="AK549" s="526"/>
      <c r="AL549" s="526"/>
      <c r="AM549" s="526"/>
      <c r="AN549" s="526"/>
      <c r="AO549" s="526"/>
      <c r="AP549" s="526"/>
      <c r="AQ549" s="526"/>
      <c r="AR549" s="526"/>
      <c r="AS549" s="526"/>
      <c r="AT549" s="526"/>
      <c r="AU549" s="526"/>
      <c r="AV549" s="526"/>
      <c r="AW549" s="526"/>
      <c r="AX549" s="526"/>
      <c r="AY549" s="526"/>
      <c r="AZ549" s="526"/>
      <c r="BA549" s="526"/>
      <c r="BB549" s="526"/>
      <c r="BC549" s="526"/>
      <c r="BD549" s="526"/>
      <c r="BE549" s="526"/>
      <c r="BF549" s="526"/>
      <c r="BG549" s="526"/>
    </row>
    <row r="550" spans="1:59" s="830" customFormat="1" ht="17.25" customHeight="1" x14ac:dyDescent="0.25">
      <c r="A550" s="865"/>
      <c r="B550" s="865"/>
      <c r="C550" s="908"/>
      <c r="G550" s="865"/>
      <c r="H550" s="874"/>
      <c r="I550" s="869"/>
      <c r="J550" s="869"/>
      <c r="K550" s="869"/>
      <c r="L550" s="869"/>
      <c r="M550" s="874"/>
      <c r="O550" s="874"/>
      <c r="P550" s="874"/>
      <c r="Q550" s="874"/>
      <c r="R550" s="874"/>
      <c r="S550" s="874"/>
      <c r="T550" s="874"/>
      <c r="W550" s="874"/>
      <c r="X550" s="874"/>
      <c r="Y550" s="874"/>
      <c r="Z550" s="874"/>
      <c r="AA550" s="874"/>
      <c r="AD550" s="526"/>
      <c r="AE550" s="526"/>
      <c r="AF550" s="526"/>
      <c r="AG550" s="526"/>
      <c r="AH550" s="526"/>
      <c r="AI550" s="526"/>
      <c r="AJ550" s="526"/>
      <c r="AK550" s="526"/>
      <c r="AL550" s="526"/>
      <c r="AM550" s="526"/>
      <c r="AN550" s="526"/>
      <c r="AO550" s="526"/>
      <c r="AP550" s="526"/>
      <c r="AQ550" s="526"/>
      <c r="AR550" s="526"/>
      <c r="AS550" s="526"/>
      <c r="AT550" s="526"/>
      <c r="AU550" s="526"/>
      <c r="AV550" s="526"/>
      <c r="AW550" s="526"/>
      <c r="AX550" s="526"/>
      <c r="AY550" s="526"/>
      <c r="AZ550" s="526"/>
      <c r="BA550" s="526"/>
      <c r="BB550" s="526"/>
      <c r="BC550" s="526"/>
      <c r="BD550" s="526"/>
      <c r="BE550" s="526"/>
      <c r="BF550" s="526"/>
      <c r="BG550" s="526"/>
    </row>
    <row r="551" spans="1:59" s="830" customFormat="1" ht="17.25" customHeight="1" x14ac:dyDescent="0.25">
      <c r="A551" s="865"/>
      <c r="B551" s="865"/>
      <c r="C551" s="908"/>
      <c r="G551" s="865"/>
      <c r="H551" s="874"/>
      <c r="I551" s="869"/>
      <c r="J551" s="869"/>
      <c r="K551" s="869"/>
      <c r="L551" s="869"/>
      <c r="M551" s="874"/>
      <c r="O551" s="874"/>
      <c r="P551" s="874"/>
      <c r="Q551" s="874"/>
      <c r="R551" s="874"/>
      <c r="S551" s="874"/>
      <c r="T551" s="874"/>
      <c r="W551" s="874"/>
      <c r="X551" s="874"/>
      <c r="Y551" s="874"/>
      <c r="Z551" s="874"/>
      <c r="AA551" s="874"/>
      <c r="AD551" s="526"/>
      <c r="AE551" s="526"/>
      <c r="AF551" s="526"/>
      <c r="AG551" s="526"/>
      <c r="AH551" s="526"/>
      <c r="AI551" s="526"/>
      <c r="AJ551" s="526"/>
      <c r="AK551" s="526"/>
      <c r="AL551" s="526"/>
      <c r="AM551" s="526"/>
      <c r="AN551" s="526"/>
      <c r="AO551" s="526"/>
      <c r="AP551" s="526"/>
      <c r="AQ551" s="526"/>
      <c r="AR551" s="526"/>
      <c r="AS551" s="526"/>
      <c r="AT551" s="526"/>
      <c r="AU551" s="526"/>
      <c r="AV551" s="526"/>
      <c r="AW551" s="526"/>
      <c r="AX551" s="526"/>
      <c r="AY551" s="526"/>
      <c r="AZ551" s="526"/>
      <c r="BA551" s="526"/>
      <c r="BB551" s="526"/>
      <c r="BC551" s="526"/>
      <c r="BD551" s="526"/>
      <c r="BE551" s="526"/>
      <c r="BF551" s="526"/>
      <c r="BG551" s="526"/>
    </row>
    <row r="552" spans="1:59" s="830" customFormat="1" ht="17.25" customHeight="1" x14ac:dyDescent="0.25">
      <c r="A552" s="865"/>
      <c r="B552" s="865"/>
      <c r="C552" s="908"/>
      <c r="G552" s="865"/>
      <c r="H552" s="874"/>
      <c r="I552" s="869"/>
      <c r="J552" s="869"/>
      <c r="K552" s="869"/>
      <c r="L552" s="869"/>
      <c r="M552" s="874"/>
      <c r="O552" s="874"/>
      <c r="P552" s="874"/>
      <c r="Q552" s="874"/>
      <c r="R552" s="874"/>
      <c r="S552" s="874"/>
      <c r="T552" s="874"/>
      <c r="W552" s="874"/>
      <c r="X552" s="874"/>
      <c r="Y552" s="874"/>
      <c r="Z552" s="874"/>
      <c r="AA552" s="874"/>
      <c r="AD552" s="526"/>
      <c r="AE552" s="526"/>
      <c r="AF552" s="526"/>
      <c r="AG552" s="526"/>
      <c r="AH552" s="526"/>
      <c r="AI552" s="526"/>
      <c r="AJ552" s="526"/>
      <c r="AK552" s="526"/>
      <c r="AL552" s="526"/>
      <c r="AM552" s="526"/>
      <c r="AN552" s="526"/>
      <c r="AO552" s="526"/>
      <c r="AP552" s="526"/>
      <c r="AQ552" s="526"/>
      <c r="AR552" s="526"/>
      <c r="AS552" s="526"/>
      <c r="AT552" s="526"/>
      <c r="AU552" s="526"/>
      <c r="AV552" s="526"/>
      <c r="AW552" s="526"/>
      <c r="AX552" s="526"/>
      <c r="AY552" s="526"/>
      <c r="AZ552" s="526"/>
      <c r="BA552" s="526"/>
      <c r="BB552" s="526"/>
      <c r="BC552" s="526"/>
      <c r="BD552" s="526"/>
      <c r="BE552" s="526"/>
      <c r="BF552" s="526"/>
      <c r="BG552" s="526"/>
    </row>
    <row r="553" spans="1:59" s="830" customFormat="1" ht="17.25" customHeight="1" x14ac:dyDescent="0.25">
      <c r="A553" s="865"/>
      <c r="B553" s="865"/>
      <c r="C553" s="908"/>
      <c r="G553" s="865"/>
      <c r="H553" s="874"/>
      <c r="I553" s="869"/>
      <c r="J553" s="869"/>
      <c r="K553" s="869"/>
      <c r="L553" s="869"/>
      <c r="M553" s="874"/>
      <c r="O553" s="874"/>
      <c r="P553" s="874"/>
      <c r="Q553" s="874"/>
      <c r="R553" s="874"/>
      <c r="S553" s="874"/>
      <c r="T553" s="874"/>
      <c r="W553" s="874"/>
      <c r="X553" s="874"/>
      <c r="Y553" s="874"/>
      <c r="Z553" s="874"/>
      <c r="AA553" s="874"/>
      <c r="AD553" s="526"/>
      <c r="AE553" s="526"/>
      <c r="AF553" s="526"/>
      <c r="AG553" s="526"/>
      <c r="AH553" s="526"/>
      <c r="AI553" s="526"/>
      <c r="AJ553" s="526"/>
      <c r="AK553" s="526"/>
      <c r="AL553" s="526"/>
      <c r="AM553" s="526"/>
      <c r="AN553" s="526"/>
      <c r="AO553" s="526"/>
      <c r="AP553" s="526"/>
      <c r="AQ553" s="526"/>
      <c r="AR553" s="526"/>
      <c r="AS553" s="526"/>
      <c r="AT553" s="526"/>
      <c r="AU553" s="526"/>
      <c r="AV553" s="526"/>
      <c r="AW553" s="526"/>
      <c r="AX553" s="526"/>
      <c r="AY553" s="526"/>
      <c r="AZ553" s="526"/>
      <c r="BA553" s="526"/>
      <c r="BB553" s="526"/>
      <c r="BC553" s="526"/>
      <c r="BD553" s="526"/>
      <c r="BE553" s="526"/>
      <c r="BF553" s="526"/>
      <c r="BG553" s="526"/>
    </row>
    <row r="554" spans="1:59" s="830" customFormat="1" ht="17.25" customHeight="1" x14ac:dyDescent="0.25">
      <c r="A554" s="865"/>
      <c r="B554" s="865"/>
      <c r="C554" s="908"/>
      <c r="G554" s="865"/>
      <c r="H554" s="874"/>
      <c r="I554" s="869"/>
      <c r="J554" s="869"/>
      <c r="K554" s="869"/>
      <c r="L554" s="869"/>
      <c r="M554" s="874"/>
      <c r="O554" s="874"/>
      <c r="P554" s="874"/>
      <c r="Q554" s="874"/>
      <c r="R554" s="874"/>
      <c r="S554" s="874"/>
      <c r="T554" s="874"/>
      <c r="W554" s="874"/>
      <c r="X554" s="874"/>
      <c r="Y554" s="874"/>
      <c r="Z554" s="874"/>
      <c r="AA554" s="874"/>
      <c r="AD554" s="526"/>
      <c r="AE554" s="526"/>
      <c r="AF554" s="526"/>
      <c r="AG554" s="526"/>
      <c r="AH554" s="526"/>
      <c r="AI554" s="526"/>
      <c r="AJ554" s="526"/>
      <c r="AK554" s="526"/>
      <c r="AL554" s="526"/>
      <c r="AM554" s="526"/>
      <c r="AN554" s="526"/>
      <c r="AO554" s="526"/>
      <c r="AP554" s="526"/>
      <c r="AQ554" s="526"/>
      <c r="AR554" s="526"/>
      <c r="AS554" s="526"/>
      <c r="AT554" s="526"/>
      <c r="AU554" s="526"/>
      <c r="AV554" s="526"/>
      <c r="AW554" s="526"/>
      <c r="AX554" s="526"/>
      <c r="AY554" s="526"/>
      <c r="AZ554" s="526"/>
      <c r="BA554" s="526"/>
      <c r="BB554" s="526"/>
      <c r="BC554" s="526"/>
      <c r="BD554" s="526"/>
      <c r="BE554" s="526"/>
      <c r="BF554" s="526"/>
      <c r="BG554" s="526"/>
    </row>
    <row r="555" spans="1:59" s="830" customFormat="1" ht="17.25" customHeight="1" x14ac:dyDescent="0.25">
      <c r="A555" s="865"/>
      <c r="B555" s="865"/>
      <c r="C555" s="908"/>
      <c r="G555" s="865"/>
      <c r="H555" s="874"/>
      <c r="I555" s="869"/>
      <c r="J555" s="869"/>
      <c r="K555" s="869"/>
      <c r="L555" s="869"/>
      <c r="M555" s="874"/>
      <c r="O555" s="874"/>
      <c r="P555" s="874"/>
      <c r="Q555" s="874"/>
      <c r="R555" s="874"/>
      <c r="S555" s="874"/>
      <c r="T555" s="874"/>
      <c r="W555" s="874"/>
      <c r="X555" s="874"/>
      <c r="Y555" s="874"/>
      <c r="Z555" s="874"/>
      <c r="AA555" s="874"/>
      <c r="AD555" s="526"/>
      <c r="AE555" s="526"/>
      <c r="AF555" s="526"/>
      <c r="AG555" s="526"/>
      <c r="AH555" s="526"/>
      <c r="AI555" s="526"/>
      <c r="AJ555" s="526"/>
      <c r="AK555" s="526"/>
      <c r="AL555" s="526"/>
      <c r="AM555" s="526"/>
      <c r="AN555" s="526"/>
      <c r="AO555" s="526"/>
      <c r="AP555" s="526"/>
      <c r="AQ555" s="526"/>
      <c r="AR555" s="526"/>
      <c r="AS555" s="526"/>
      <c r="AT555" s="526"/>
      <c r="AU555" s="526"/>
      <c r="AV555" s="526"/>
      <c r="AW555" s="526"/>
      <c r="AX555" s="526"/>
      <c r="AY555" s="526"/>
      <c r="AZ555" s="526"/>
      <c r="BA555" s="526"/>
      <c r="BB555" s="526"/>
      <c r="BC555" s="526"/>
      <c r="BD555" s="526"/>
      <c r="BE555" s="526"/>
      <c r="BF555" s="526"/>
      <c r="BG555" s="526"/>
    </row>
    <row r="556" spans="1:59" s="830" customFormat="1" ht="17.25" customHeight="1" x14ac:dyDescent="0.25">
      <c r="A556" s="865"/>
      <c r="B556" s="865"/>
      <c r="C556" s="908"/>
      <c r="G556" s="865"/>
      <c r="H556" s="874"/>
      <c r="I556" s="869"/>
      <c r="J556" s="869"/>
      <c r="K556" s="869"/>
      <c r="L556" s="869"/>
      <c r="M556" s="874"/>
      <c r="O556" s="874"/>
      <c r="P556" s="874"/>
      <c r="Q556" s="874"/>
      <c r="R556" s="874"/>
      <c r="S556" s="874"/>
      <c r="T556" s="874"/>
      <c r="W556" s="874"/>
      <c r="X556" s="874"/>
      <c r="Y556" s="874"/>
      <c r="Z556" s="874"/>
      <c r="AA556" s="874"/>
      <c r="AD556" s="526"/>
      <c r="AE556" s="526"/>
      <c r="AF556" s="526"/>
      <c r="AG556" s="526"/>
      <c r="AH556" s="526"/>
      <c r="AI556" s="526"/>
      <c r="AJ556" s="526"/>
      <c r="AK556" s="526"/>
      <c r="AL556" s="526"/>
      <c r="AM556" s="526"/>
      <c r="AN556" s="526"/>
      <c r="AO556" s="526"/>
      <c r="AP556" s="526"/>
      <c r="AQ556" s="526"/>
      <c r="AR556" s="526"/>
      <c r="AS556" s="526"/>
      <c r="AT556" s="526"/>
      <c r="AU556" s="526"/>
      <c r="AV556" s="526"/>
      <c r="AW556" s="526"/>
      <c r="AX556" s="526"/>
      <c r="AY556" s="526"/>
      <c r="AZ556" s="526"/>
      <c r="BA556" s="526"/>
      <c r="BB556" s="526"/>
      <c r="BC556" s="526"/>
      <c r="BD556" s="526"/>
      <c r="BE556" s="526"/>
      <c r="BF556" s="526"/>
      <c r="BG556" s="526"/>
    </row>
    <row r="557" spans="1:59" s="830" customFormat="1" ht="17.25" customHeight="1" x14ac:dyDescent="0.25">
      <c r="A557" s="865"/>
      <c r="B557" s="865"/>
      <c r="C557" s="908"/>
      <c r="G557" s="865"/>
      <c r="H557" s="874"/>
      <c r="I557" s="869"/>
      <c r="J557" s="869"/>
      <c r="K557" s="869"/>
      <c r="L557" s="869"/>
      <c r="M557" s="874"/>
      <c r="O557" s="874"/>
      <c r="P557" s="874"/>
      <c r="Q557" s="874"/>
      <c r="R557" s="874"/>
      <c r="S557" s="874"/>
      <c r="T557" s="874"/>
      <c r="W557" s="874"/>
      <c r="X557" s="874"/>
      <c r="Y557" s="874"/>
      <c r="Z557" s="874"/>
      <c r="AA557" s="874"/>
      <c r="AD557" s="526"/>
      <c r="AE557" s="526"/>
      <c r="AF557" s="526"/>
      <c r="AG557" s="526"/>
      <c r="AH557" s="526"/>
      <c r="AI557" s="526"/>
      <c r="AJ557" s="526"/>
      <c r="AK557" s="526"/>
      <c r="AL557" s="526"/>
      <c r="AM557" s="526"/>
      <c r="AN557" s="526"/>
      <c r="AO557" s="526"/>
      <c r="AP557" s="526"/>
      <c r="AQ557" s="526"/>
      <c r="AR557" s="526"/>
      <c r="AS557" s="526"/>
      <c r="AT557" s="526"/>
      <c r="AU557" s="526"/>
      <c r="AV557" s="526"/>
      <c r="AW557" s="526"/>
      <c r="AX557" s="526"/>
      <c r="AY557" s="526"/>
      <c r="AZ557" s="526"/>
      <c r="BA557" s="526"/>
      <c r="BB557" s="526"/>
      <c r="BC557" s="526"/>
      <c r="BD557" s="526"/>
      <c r="BE557" s="526"/>
      <c r="BF557" s="526"/>
      <c r="BG557" s="526"/>
    </row>
    <row r="558" spans="1:59" s="830" customFormat="1" ht="17.25" customHeight="1" x14ac:dyDescent="0.25">
      <c r="A558" s="865"/>
      <c r="B558" s="865"/>
      <c r="C558" s="908"/>
      <c r="G558" s="865"/>
      <c r="H558" s="874"/>
      <c r="I558" s="869"/>
      <c r="J558" s="869"/>
      <c r="K558" s="869"/>
      <c r="L558" s="869"/>
      <c r="M558" s="874"/>
      <c r="O558" s="874"/>
      <c r="P558" s="874"/>
      <c r="Q558" s="874"/>
      <c r="R558" s="874"/>
      <c r="S558" s="874"/>
      <c r="T558" s="874"/>
      <c r="W558" s="874"/>
      <c r="X558" s="874"/>
      <c r="Y558" s="874"/>
      <c r="Z558" s="874"/>
      <c r="AA558" s="874"/>
      <c r="AD558" s="526"/>
      <c r="AE558" s="526"/>
      <c r="AF558" s="526"/>
      <c r="AG558" s="526"/>
      <c r="AH558" s="526"/>
      <c r="AI558" s="526"/>
      <c r="AJ558" s="526"/>
      <c r="AK558" s="526"/>
      <c r="AL558" s="526"/>
      <c r="AM558" s="526"/>
      <c r="AN558" s="526"/>
      <c r="AO558" s="526"/>
      <c r="AP558" s="526"/>
      <c r="AQ558" s="526"/>
      <c r="AR558" s="526"/>
      <c r="AS558" s="526"/>
      <c r="AT558" s="526"/>
      <c r="AU558" s="526"/>
      <c r="AV558" s="526"/>
      <c r="AW558" s="526"/>
      <c r="AX558" s="526"/>
      <c r="AY558" s="526"/>
      <c r="AZ558" s="526"/>
      <c r="BA558" s="526"/>
      <c r="BB558" s="526"/>
      <c r="BC558" s="526"/>
      <c r="BD558" s="526"/>
      <c r="BE558" s="526"/>
      <c r="BF558" s="526"/>
      <c r="BG558" s="526"/>
    </row>
    <row r="559" spans="1:59" s="830" customFormat="1" ht="17.25" customHeight="1" x14ac:dyDescent="0.25">
      <c r="A559" s="865"/>
      <c r="B559" s="865"/>
      <c r="C559" s="908"/>
      <c r="G559" s="865"/>
      <c r="H559" s="874"/>
      <c r="I559" s="869"/>
      <c r="J559" s="869"/>
      <c r="K559" s="869"/>
      <c r="L559" s="869"/>
      <c r="M559" s="874"/>
      <c r="O559" s="874"/>
      <c r="P559" s="874"/>
      <c r="Q559" s="874"/>
      <c r="R559" s="874"/>
      <c r="S559" s="874"/>
      <c r="T559" s="874"/>
      <c r="W559" s="874"/>
      <c r="X559" s="874"/>
      <c r="Y559" s="874"/>
      <c r="Z559" s="874"/>
      <c r="AA559" s="874"/>
      <c r="AD559" s="526"/>
      <c r="AE559" s="526"/>
      <c r="AF559" s="526"/>
      <c r="AG559" s="526"/>
      <c r="AH559" s="526"/>
      <c r="AI559" s="526"/>
      <c r="AJ559" s="526"/>
      <c r="AK559" s="526"/>
      <c r="AL559" s="526"/>
      <c r="AM559" s="526"/>
      <c r="AN559" s="526"/>
      <c r="AO559" s="526"/>
      <c r="AP559" s="526"/>
      <c r="AQ559" s="526"/>
      <c r="AR559" s="526"/>
      <c r="AS559" s="526"/>
      <c r="AT559" s="526"/>
      <c r="AU559" s="526"/>
      <c r="AV559" s="526"/>
      <c r="AW559" s="526"/>
      <c r="AX559" s="526"/>
      <c r="AY559" s="526"/>
      <c r="AZ559" s="526"/>
      <c r="BA559" s="526"/>
      <c r="BB559" s="526"/>
      <c r="BC559" s="526"/>
      <c r="BD559" s="526"/>
      <c r="BE559" s="526"/>
      <c r="BF559" s="526"/>
      <c r="BG559" s="526"/>
    </row>
    <row r="560" spans="1:59" s="830" customFormat="1" ht="17.25" customHeight="1" x14ac:dyDescent="0.25">
      <c r="A560" s="865"/>
      <c r="B560" s="865"/>
      <c r="C560" s="908"/>
      <c r="G560" s="865"/>
      <c r="H560" s="874"/>
      <c r="I560" s="869"/>
      <c r="J560" s="869"/>
      <c r="K560" s="869"/>
      <c r="L560" s="869"/>
      <c r="M560" s="874"/>
      <c r="O560" s="874"/>
      <c r="P560" s="874"/>
      <c r="Q560" s="874"/>
      <c r="R560" s="874"/>
      <c r="S560" s="874"/>
      <c r="T560" s="874"/>
      <c r="W560" s="874"/>
      <c r="X560" s="874"/>
      <c r="Y560" s="874"/>
      <c r="Z560" s="874"/>
      <c r="AA560" s="874"/>
      <c r="AD560" s="526"/>
      <c r="AE560" s="526"/>
      <c r="AF560" s="526"/>
      <c r="AG560" s="526"/>
      <c r="AH560" s="526"/>
      <c r="AI560" s="526"/>
      <c r="AJ560" s="526"/>
      <c r="AK560" s="526"/>
      <c r="AL560" s="526"/>
      <c r="AM560" s="526"/>
      <c r="AN560" s="526"/>
      <c r="AO560" s="526"/>
      <c r="AP560" s="526"/>
      <c r="AQ560" s="526"/>
      <c r="AR560" s="526"/>
      <c r="AS560" s="526"/>
      <c r="AT560" s="526"/>
      <c r="AU560" s="526"/>
      <c r="AV560" s="526"/>
      <c r="AW560" s="526"/>
      <c r="AX560" s="526"/>
      <c r="AY560" s="526"/>
      <c r="AZ560" s="526"/>
      <c r="BA560" s="526"/>
      <c r="BB560" s="526"/>
      <c r="BC560" s="526"/>
      <c r="BD560" s="526"/>
      <c r="BE560" s="526"/>
      <c r="BF560" s="526"/>
      <c r="BG560" s="526"/>
    </row>
    <row r="561" spans="1:59" s="830" customFormat="1" ht="17.25" customHeight="1" x14ac:dyDescent="0.25">
      <c r="A561" s="865"/>
      <c r="B561" s="865"/>
      <c r="C561" s="908"/>
      <c r="G561" s="865"/>
      <c r="H561" s="874"/>
      <c r="I561" s="869"/>
      <c r="J561" s="869"/>
      <c r="K561" s="869"/>
      <c r="L561" s="869"/>
      <c r="M561" s="874"/>
      <c r="O561" s="874"/>
      <c r="P561" s="874"/>
      <c r="Q561" s="874"/>
      <c r="R561" s="874"/>
      <c r="S561" s="874"/>
      <c r="T561" s="874"/>
      <c r="W561" s="874"/>
      <c r="X561" s="874"/>
      <c r="Y561" s="874"/>
      <c r="Z561" s="874"/>
      <c r="AA561" s="874"/>
      <c r="AD561" s="526"/>
      <c r="AE561" s="526"/>
      <c r="AF561" s="526"/>
      <c r="AG561" s="526"/>
      <c r="AH561" s="526"/>
      <c r="AI561" s="526"/>
      <c r="AJ561" s="526"/>
      <c r="AK561" s="526"/>
      <c r="AL561" s="526"/>
      <c r="AM561" s="526"/>
      <c r="AN561" s="526"/>
      <c r="AO561" s="526"/>
      <c r="AP561" s="526"/>
      <c r="AQ561" s="526"/>
      <c r="AR561" s="526"/>
      <c r="AS561" s="526"/>
      <c r="AT561" s="526"/>
      <c r="AU561" s="526"/>
      <c r="AV561" s="526"/>
      <c r="AW561" s="526"/>
      <c r="AX561" s="526"/>
      <c r="AY561" s="526"/>
      <c r="AZ561" s="526"/>
      <c r="BA561" s="526"/>
      <c r="BB561" s="526"/>
      <c r="BC561" s="526"/>
      <c r="BD561" s="526"/>
      <c r="BE561" s="526"/>
      <c r="BF561" s="526"/>
      <c r="BG561" s="526"/>
    </row>
    <row r="562" spans="1:59" s="830" customFormat="1" ht="17.25" customHeight="1" x14ac:dyDescent="0.25">
      <c r="A562" s="865"/>
      <c r="B562" s="865"/>
      <c r="C562" s="908"/>
      <c r="G562" s="865"/>
      <c r="H562" s="874"/>
      <c r="I562" s="869"/>
      <c r="J562" s="869"/>
      <c r="K562" s="869"/>
      <c r="L562" s="869"/>
      <c r="M562" s="874"/>
      <c r="O562" s="874"/>
      <c r="P562" s="874"/>
      <c r="Q562" s="874"/>
      <c r="R562" s="874"/>
      <c r="S562" s="874"/>
      <c r="T562" s="874"/>
      <c r="W562" s="874"/>
      <c r="X562" s="874"/>
      <c r="Y562" s="874"/>
      <c r="Z562" s="874"/>
      <c r="AA562" s="874"/>
      <c r="AD562" s="526"/>
      <c r="AE562" s="526"/>
      <c r="AF562" s="526"/>
      <c r="AG562" s="526"/>
      <c r="AH562" s="526"/>
      <c r="AI562" s="526"/>
      <c r="AJ562" s="526"/>
      <c r="AK562" s="526"/>
      <c r="AL562" s="526"/>
      <c r="AM562" s="526"/>
      <c r="AN562" s="526"/>
      <c r="AO562" s="526"/>
      <c r="AP562" s="526"/>
      <c r="AQ562" s="526"/>
      <c r="AR562" s="526"/>
      <c r="AS562" s="526"/>
      <c r="AT562" s="526"/>
      <c r="AU562" s="526"/>
      <c r="AV562" s="526"/>
      <c r="AW562" s="526"/>
      <c r="AX562" s="526"/>
      <c r="AY562" s="526"/>
      <c r="AZ562" s="526"/>
      <c r="BA562" s="526"/>
      <c r="BB562" s="526"/>
      <c r="BC562" s="526"/>
      <c r="BD562" s="526"/>
      <c r="BE562" s="526"/>
      <c r="BF562" s="526"/>
      <c r="BG562" s="526"/>
    </row>
    <row r="563" spans="1:59" s="830" customFormat="1" ht="17.25" customHeight="1" x14ac:dyDescent="0.25">
      <c r="A563" s="865"/>
      <c r="B563" s="865"/>
      <c r="C563" s="908"/>
      <c r="G563" s="865"/>
      <c r="H563" s="874"/>
      <c r="I563" s="869"/>
      <c r="J563" s="869"/>
      <c r="K563" s="869"/>
      <c r="L563" s="869"/>
      <c r="M563" s="874"/>
      <c r="O563" s="874"/>
      <c r="P563" s="874"/>
      <c r="Q563" s="874"/>
      <c r="R563" s="874"/>
      <c r="S563" s="874"/>
      <c r="T563" s="874"/>
      <c r="W563" s="874"/>
      <c r="X563" s="874"/>
      <c r="Y563" s="874"/>
      <c r="Z563" s="874"/>
      <c r="AA563" s="874"/>
      <c r="AD563" s="526"/>
      <c r="AE563" s="526"/>
      <c r="AF563" s="526"/>
      <c r="AG563" s="526"/>
      <c r="AH563" s="526"/>
      <c r="AI563" s="526"/>
      <c r="AJ563" s="526"/>
      <c r="AK563" s="526"/>
      <c r="AL563" s="526"/>
      <c r="AM563" s="526"/>
      <c r="AN563" s="526"/>
      <c r="AO563" s="526"/>
      <c r="AP563" s="526"/>
      <c r="AQ563" s="526"/>
      <c r="AR563" s="526"/>
      <c r="AS563" s="526"/>
      <c r="AT563" s="526"/>
      <c r="AU563" s="526"/>
      <c r="AV563" s="526"/>
      <c r="AW563" s="526"/>
      <c r="AX563" s="526"/>
      <c r="AY563" s="526"/>
      <c r="AZ563" s="526"/>
      <c r="BA563" s="526"/>
      <c r="BB563" s="526"/>
      <c r="BC563" s="526"/>
      <c r="BD563" s="526"/>
      <c r="BE563" s="526"/>
      <c r="BF563" s="526"/>
      <c r="BG563" s="526"/>
    </row>
    <row r="564" spans="1:59" s="830" customFormat="1" ht="17.25" customHeight="1" x14ac:dyDescent="0.25">
      <c r="A564" s="865"/>
      <c r="B564" s="865"/>
      <c r="C564" s="908"/>
      <c r="G564" s="865"/>
      <c r="H564" s="874"/>
      <c r="I564" s="869"/>
      <c r="J564" s="869"/>
      <c r="K564" s="869"/>
      <c r="L564" s="869"/>
      <c r="M564" s="874"/>
      <c r="O564" s="874"/>
      <c r="P564" s="874"/>
      <c r="Q564" s="874"/>
      <c r="R564" s="874"/>
      <c r="S564" s="874"/>
      <c r="T564" s="874"/>
      <c r="W564" s="874"/>
      <c r="X564" s="874"/>
      <c r="Y564" s="874"/>
      <c r="Z564" s="874"/>
      <c r="AA564" s="874"/>
      <c r="AD564" s="526"/>
      <c r="AE564" s="526"/>
      <c r="AF564" s="526"/>
      <c r="AG564" s="526"/>
      <c r="AH564" s="526"/>
      <c r="AI564" s="526"/>
      <c r="AJ564" s="526"/>
      <c r="AK564" s="526"/>
      <c r="AL564" s="526"/>
      <c r="AM564" s="526"/>
      <c r="AN564" s="526"/>
      <c r="AO564" s="526"/>
      <c r="AP564" s="526"/>
      <c r="AQ564" s="526"/>
      <c r="AR564" s="526"/>
      <c r="AS564" s="526"/>
      <c r="AT564" s="526"/>
      <c r="AU564" s="526"/>
      <c r="AV564" s="526"/>
      <c r="AW564" s="526"/>
      <c r="AX564" s="526"/>
      <c r="AY564" s="526"/>
      <c r="AZ564" s="526"/>
      <c r="BA564" s="526"/>
      <c r="BB564" s="526"/>
      <c r="BC564" s="526"/>
      <c r="BD564" s="526"/>
      <c r="BE564" s="526"/>
      <c r="BF564" s="526"/>
      <c r="BG564" s="526"/>
    </row>
    <row r="565" spans="1:59" s="830" customFormat="1" ht="17.25" customHeight="1" x14ac:dyDescent="0.25">
      <c r="A565" s="865"/>
      <c r="B565" s="865"/>
      <c r="C565" s="908"/>
      <c r="G565" s="865"/>
      <c r="H565" s="874"/>
      <c r="I565" s="869"/>
      <c r="J565" s="869"/>
      <c r="K565" s="869"/>
      <c r="L565" s="869"/>
      <c r="M565" s="874"/>
      <c r="O565" s="874"/>
      <c r="P565" s="874"/>
      <c r="Q565" s="874"/>
      <c r="R565" s="874"/>
      <c r="S565" s="874"/>
      <c r="T565" s="874"/>
      <c r="W565" s="874"/>
      <c r="X565" s="874"/>
      <c r="Y565" s="874"/>
      <c r="Z565" s="874"/>
      <c r="AA565" s="874"/>
      <c r="AD565" s="526"/>
      <c r="AE565" s="526"/>
      <c r="AF565" s="526"/>
      <c r="AG565" s="526"/>
      <c r="AH565" s="526"/>
      <c r="AI565" s="526"/>
      <c r="AJ565" s="526"/>
      <c r="AK565" s="526"/>
      <c r="AL565" s="526"/>
      <c r="AM565" s="526"/>
      <c r="AN565" s="526"/>
      <c r="AO565" s="526"/>
      <c r="AP565" s="526"/>
      <c r="AQ565" s="526"/>
      <c r="AR565" s="526"/>
      <c r="AS565" s="526"/>
      <c r="AT565" s="526"/>
      <c r="AU565" s="526"/>
      <c r="AV565" s="526"/>
      <c r="AW565" s="526"/>
      <c r="AX565" s="526"/>
      <c r="AY565" s="526"/>
      <c r="AZ565" s="526"/>
      <c r="BA565" s="526"/>
      <c r="BB565" s="526"/>
      <c r="BC565" s="526"/>
      <c r="BD565" s="526"/>
      <c r="BE565" s="526"/>
      <c r="BF565" s="526"/>
      <c r="BG565" s="526"/>
    </row>
    <row r="566" spans="1:59" s="830" customFormat="1" ht="17.25" customHeight="1" x14ac:dyDescent="0.25">
      <c r="A566" s="865"/>
      <c r="B566" s="865"/>
      <c r="C566" s="908"/>
      <c r="G566" s="865"/>
      <c r="H566" s="874"/>
      <c r="I566" s="869"/>
      <c r="J566" s="869"/>
      <c r="K566" s="869"/>
      <c r="L566" s="869"/>
      <c r="M566" s="874"/>
      <c r="O566" s="874"/>
      <c r="P566" s="874"/>
      <c r="Q566" s="874"/>
      <c r="R566" s="874"/>
      <c r="S566" s="874"/>
      <c r="T566" s="874"/>
      <c r="W566" s="874"/>
      <c r="X566" s="874"/>
      <c r="Y566" s="874"/>
      <c r="Z566" s="874"/>
      <c r="AA566" s="874"/>
      <c r="AD566" s="526"/>
      <c r="AE566" s="526"/>
      <c r="AF566" s="526"/>
      <c r="AG566" s="526"/>
      <c r="AH566" s="526"/>
      <c r="AI566" s="526"/>
      <c r="AJ566" s="526"/>
      <c r="AK566" s="526"/>
      <c r="AL566" s="526"/>
      <c r="AM566" s="526"/>
      <c r="AN566" s="526"/>
      <c r="AO566" s="526"/>
      <c r="AP566" s="526"/>
      <c r="AQ566" s="526"/>
      <c r="AR566" s="526"/>
      <c r="AS566" s="526"/>
      <c r="AT566" s="526"/>
      <c r="AU566" s="526"/>
      <c r="AV566" s="526"/>
      <c r="AW566" s="526"/>
      <c r="AX566" s="526"/>
      <c r="AY566" s="526"/>
      <c r="AZ566" s="526"/>
      <c r="BA566" s="526"/>
      <c r="BB566" s="526"/>
      <c r="BC566" s="526"/>
      <c r="BD566" s="526"/>
      <c r="BE566" s="526"/>
      <c r="BF566" s="526"/>
      <c r="BG566" s="526"/>
    </row>
    <row r="567" spans="1:59" s="830" customFormat="1" ht="17.25" customHeight="1" x14ac:dyDescent="0.25">
      <c r="A567" s="865"/>
      <c r="B567" s="865"/>
      <c r="C567" s="908"/>
      <c r="G567" s="865"/>
      <c r="H567" s="874"/>
      <c r="I567" s="869"/>
      <c r="J567" s="869"/>
      <c r="K567" s="869"/>
      <c r="L567" s="869"/>
      <c r="M567" s="874"/>
      <c r="O567" s="874"/>
      <c r="P567" s="874"/>
      <c r="Q567" s="874"/>
      <c r="R567" s="874"/>
      <c r="S567" s="874"/>
      <c r="T567" s="874"/>
      <c r="W567" s="874"/>
      <c r="X567" s="874"/>
      <c r="Y567" s="874"/>
      <c r="Z567" s="874"/>
      <c r="AA567" s="874"/>
      <c r="AD567" s="526"/>
      <c r="AE567" s="526"/>
      <c r="AF567" s="526"/>
      <c r="AG567" s="526"/>
      <c r="AH567" s="526"/>
      <c r="AI567" s="526"/>
      <c r="AJ567" s="526"/>
      <c r="AK567" s="526"/>
      <c r="AL567" s="526"/>
      <c r="AM567" s="526"/>
      <c r="AN567" s="526"/>
      <c r="AO567" s="526"/>
      <c r="AP567" s="526"/>
      <c r="AQ567" s="526"/>
      <c r="AR567" s="526"/>
      <c r="AS567" s="526"/>
      <c r="AT567" s="526"/>
      <c r="AU567" s="526"/>
      <c r="AV567" s="526"/>
      <c r="AW567" s="526"/>
      <c r="AX567" s="526"/>
      <c r="AY567" s="526"/>
      <c r="AZ567" s="526"/>
      <c r="BA567" s="526"/>
      <c r="BB567" s="526"/>
      <c r="BC567" s="526"/>
      <c r="BD567" s="526"/>
      <c r="BE567" s="526"/>
      <c r="BF567" s="526"/>
      <c r="BG567" s="526"/>
    </row>
    <row r="568" spans="1:59" s="830" customFormat="1" ht="17.25" customHeight="1" x14ac:dyDescent="0.25">
      <c r="A568" s="865"/>
      <c r="B568" s="865"/>
      <c r="C568" s="908"/>
      <c r="G568" s="865"/>
      <c r="H568" s="874"/>
      <c r="I568" s="869"/>
      <c r="J568" s="869"/>
      <c r="K568" s="869"/>
      <c r="L568" s="869"/>
      <c r="M568" s="874"/>
      <c r="O568" s="874"/>
      <c r="P568" s="874"/>
      <c r="Q568" s="874"/>
      <c r="R568" s="874"/>
      <c r="S568" s="874"/>
      <c r="T568" s="874"/>
      <c r="W568" s="874"/>
      <c r="X568" s="874"/>
      <c r="Y568" s="874"/>
      <c r="Z568" s="874"/>
      <c r="AA568" s="874"/>
      <c r="AD568" s="526"/>
      <c r="AE568" s="526"/>
      <c r="AF568" s="526"/>
      <c r="AG568" s="526"/>
      <c r="AH568" s="526"/>
      <c r="AI568" s="526"/>
      <c r="AJ568" s="526"/>
      <c r="AK568" s="526"/>
      <c r="AL568" s="526"/>
      <c r="AM568" s="526"/>
      <c r="AN568" s="526"/>
      <c r="AO568" s="526"/>
      <c r="AP568" s="526"/>
      <c r="AQ568" s="526"/>
      <c r="AR568" s="526"/>
      <c r="AS568" s="526"/>
      <c r="AT568" s="526"/>
      <c r="AU568" s="526"/>
      <c r="AV568" s="526"/>
      <c r="AW568" s="526"/>
      <c r="AX568" s="526"/>
      <c r="AY568" s="526"/>
      <c r="AZ568" s="526"/>
      <c r="BA568" s="526"/>
      <c r="BB568" s="526"/>
      <c r="BC568" s="526"/>
      <c r="BD568" s="526"/>
      <c r="BE568" s="526"/>
      <c r="BF568" s="526"/>
      <c r="BG568" s="526"/>
    </row>
    <row r="569" spans="1:59" s="830" customFormat="1" ht="17.25" customHeight="1" x14ac:dyDescent="0.25">
      <c r="A569" s="865"/>
      <c r="B569" s="865"/>
      <c r="C569" s="908"/>
      <c r="G569" s="865"/>
      <c r="H569" s="874"/>
      <c r="I569" s="869"/>
      <c r="J569" s="869"/>
      <c r="K569" s="869"/>
      <c r="L569" s="869"/>
      <c r="M569" s="874"/>
      <c r="O569" s="874"/>
      <c r="P569" s="874"/>
      <c r="Q569" s="874"/>
      <c r="R569" s="874"/>
      <c r="S569" s="874"/>
      <c r="T569" s="874"/>
      <c r="W569" s="874"/>
      <c r="X569" s="874"/>
      <c r="Y569" s="874"/>
      <c r="Z569" s="874"/>
      <c r="AA569" s="874"/>
      <c r="AD569" s="526"/>
      <c r="AE569" s="526"/>
      <c r="AF569" s="526"/>
      <c r="AG569" s="526"/>
      <c r="AH569" s="526"/>
      <c r="AI569" s="526"/>
      <c r="AJ569" s="526"/>
      <c r="AK569" s="526"/>
      <c r="AL569" s="526"/>
      <c r="AM569" s="526"/>
      <c r="AN569" s="526"/>
      <c r="AO569" s="526"/>
      <c r="AP569" s="526"/>
      <c r="AQ569" s="526"/>
      <c r="AR569" s="526"/>
      <c r="AS569" s="526"/>
      <c r="AT569" s="526"/>
      <c r="AU569" s="526"/>
      <c r="AV569" s="526"/>
      <c r="AW569" s="526"/>
      <c r="AX569" s="526"/>
      <c r="AY569" s="526"/>
      <c r="AZ569" s="526"/>
      <c r="BA569" s="526"/>
      <c r="BB569" s="526"/>
      <c r="BC569" s="526"/>
      <c r="BD569" s="526"/>
      <c r="BE569" s="526"/>
      <c r="BF569" s="526"/>
      <c r="BG569" s="526"/>
    </row>
    <row r="570" spans="1:59" s="830" customFormat="1" ht="17.25" customHeight="1" x14ac:dyDescent="0.25">
      <c r="A570" s="865"/>
      <c r="B570" s="865"/>
      <c r="C570" s="908"/>
      <c r="G570" s="865"/>
      <c r="H570" s="874"/>
      <c r="I570" s="869"/>
      <c r="J570" s="869"/>
      <c r="K570" s="869"/>
      <c r="L570" s="869"/>
      <c r="M570" s="874"/>
      <c r="O570" s="874"/>
      <c r="P570" s="874"/>
      <c r="Q570" s="874"/>
      <c r="R570" s="874"/>
      <c r="S570" s="874"/>
      <c r="T570" s="874"/>
      <c r="W570" s="874"/>
      <c r="X570" s="874"/>
      <c r="Y570" s="874"/>
      <c r="Z570" s="874"/>
      <c r="AA570" s="874"/>
      <c r="AD570" s="526"/>
      <c r="AE570" s="526"/>
      <c r="AF570" s="526"/>
      <c r="AG570" s="526"/>
      <c r="AH570" s="526"/>
      <c r="AI570" s="526"/>
      <c r="AJ570" s="526"/>
      <c r="AK570" s="526"/>
      <c r="AL570" s="526"/>
      <c r="AM570" s="526"/>
      <c r="AN570" s="526"/>
      <c r="AO570" s="526"/>
      <c r="AP570" s="526"/>
      <c r="AQ570" s="526"/>
      <c r="AR570" s="526"/>
      <c r="AS570" s="526"/>
      <c r="AT570" s="526"/>
      <c r="AU570" s="526"/>
      <c r="AV570" s="526"/>
      <c r="AW570" s="526"/>
      <c r="AX570" s="526"/>
      <c r="AY570" s="526"/>
      <c r="AZ570" s="526"/>
      <c r="BA570" s="526"/>
      <c r="BB570" s="526"/>
      <c r="BC570" s="526"/>
      <c r="BD570" s="526"/>
      <c r="BE570" s="526"/>
      <c r="BF570" s="526"/>
      <c r="BG570" s="526"/>
    </row>
    <row r="571" spans="1:59" s="830" customFormat="1" ht="17.25" customHeight="1" x14ac:dyDescent="0.25">
      <c r="A571" s="865"/>
      <c r="B571" s="865"/>
      <c r="C571" s="908"/>
      <c r="G571" s="865"/>
      <c r="H571" s="874"/>
      <c r="I571" s="869"/>
      <c r="J571" s="869"/>
      <c r="K571" s="869"/>
      <c r="L571" s="869"/>
      <c r="M571" s="874"/>
      <c r="O571" s="874"/>
      <c r="P571" s="874"/>
      <c r="Q571" s="874"/>
      <c r="R571" s="874"/>
      <c r="S571" s="874"/>
      <c r="T571" s="874"/>
      <c r="W571" s="874"/>
      <c r="X571" s="874"/>
      <c r="Y571" s="874"/>
      <c r="Z571" s="874"/>
      <c r="AA571" s="874"/>
      <c r="AD571" s="526"/>
      <c r="AE571" s="526"/>
      <c r="AF571" s="526"/>
      <c r="AG571" s="526"/>
      <c r="AH571" s="526"/>
      <c r="AI571" s="526"/>
      <c r="AJ571" s="526"/>
      <c r="AK571" s="526"/>
      <c r="AL571" s="526"/>
      <c r="AM571" s="526"/>
      <c r="AN571" s="526"/>
      <c r="AO571" s="526"/>
      <c r="AP571" s="526"/>
      <c r="AQ571" s="526"/>
      <c r="AR571" s="526"/>
      <c r="AS571" s="526"/>
      <c r="AT571" s="526"/>
      <c r="AU571" s="526"/>
      <c r="AV571" s="526"/>
      <c r="AW571" s="526"/>
      <c r="AX571" s="526"/>
      <c r="AY571" s="526"/>
      <c r="AZ571" s="526"/>
      <c r="BA571" s="526"/>
      <c r="BB571" s="526"/>
      <c r="BC571" s="526"/>
      <c r="BD571" s="526"/>
      <c r="BE571" s="526"/>
      <c r="BF571" s="526"/>
      <c r="BG571" s="526"/>
    </row>
    <row r="572" spans="1:59" s="830" customFormat="1" ht="17.25" customHeight="1" x14ac:dyDescent="0.25">
      <c r="A572" s="865"/>
      <c r="B572" s="865"/>
      <c r="C572" s="908"/>
      <c r="G572" s="865"/>
      <c r="H572" s="874"/>
      <c r="I572" s="869"/>
      <c r="J572" s="869"/>
      <c r="K572" s="869"/>
      <c r="L572" s="869"/>
      <c r="M572" s="874"/>
      <c r="O572" s="874"/>
      <c r="P572" s="874"/>
      <c r="Q572" s="874"/>
      <c r="R572" s="874"/>
      <c r="S572" s="874"/>
      <c r="T572" s="874"/>
      <c r="W572" s="874"/>
      <c r="X572" s="874"/>
      <c r="Y572" s="874"/>
      <c r="Z572" s="874"/>
      <c r="AA572" s="874"/>
      <c r="AD572" s="526"/>
      <c r="AE572" s="526"/>
      <c r="AF572" s="526"/>
      <c r="AG572" s="526"/>
      <c r="AH572" s="526"/>
      <c r="AI572" s="526"/>
      <c r="AJ572" s="526"/>
      <c r="AK572" s="526"/>
      <c r="AL572" s="526"/>
      <c r="AM572" s="526"/>
      <c r="AN572" s="526"/>
      <c r="AO572" s="526"/>
      <c r="AP572" s="526"/>
      <c r="AQ572" s="526"/>
      <c r="AR572" s="526"/>
      <c r="AS572" s="526"/>
      <c r="AT572" s="526"/>
      <c r="AU572" s="526"/>
      <c r="AV572" s="526"/>
      <c r="AW572" s="526"/>
      <c r="AX572" s="526"/>
      <c r="AY572" s="526"/>
      <c r="AZ572" s="526"/>
      <c r="BA572" s="526"/>
      <c r="BB572" s="526"/>
      <c r="BC572" s="526"/>
      <c r="BD572" s="526"/>
      <c r="BE572" s="526"/>
      <c r="BF572" s="526"/>
      <c r="BG572" s="526"/>
    </row>
    <row r="573" spans="1:59" s="830" customFormat="1" ht="17.25" customHeight="1" x14ac:dyDescent="0.25">
      <c r="A573" s="865"/>
      <c r="B573" s="865"/>
      <c r="C573" s="908"/>
      <c r="G573" s="865"/>
      <c r="H573" s="874"/>
      <c r="I573" s="869"/>
      <c r="J573" s="869"/>
      <c r="K573" s="869"/>
      <c r="L573" s="869"/>
      <c r="M573" s="874"/>
      <c r="O573" s="874"/>
      <c r="P573" s="874"/>
      <c r="Q573" s="874"/>
      <c r="R573" s="874"/>
      <c r="S573" s="874"/>
      <c r="T573" s="874"/>
      <c r="W573" s="874"/>
      <c r="X573" s="874"/>
      <c r="Y573" s="874"/>
      <c r="Z573" s="874"/>
      <c r="AA573" s="874"/>
      <c r="AD573" s="526"/>
      <c r="AE573" s="526"/>
      <c r="AF573" s="526"/>
      <c r="AG573" s="526"/>
      <c r="AH573" s="526"/>
      <c r="AI573" s="526"/>
      <c r="AJ573" s="526"/>
      <c r="AK573" s="526"/>
      <c r="AL573" s="526"/>
      <c r="AM573" s="526"/>
      <c r="AN573" s="526"/>
      <c r="AO573" s="526"/>
      <c r="AP573" s="526"/>
      <c r="AQ573" s="526"/>
      <c r="AR573" s="526"/>
      <c r="AS573" s="526"/>
      <c r="AT573" s="526"/>
      <c r="AU573" s="526"/>
      <c r="AV573" s="526"/>
      <c r="AW573" s="526"/>
      <c r="AX573" s="526"/>
      <c r="AY573" s="526"/>
      <c r="AZ573" s="526"/>
      <c r="BA573" s="526"/>
      <c r="BB573" s="526"/>
      <c r="BC573" s="526"/>
      <c r="BD573" s="526"/>
      <c r="BE573" s="526"/>
      <c r="BF573" s="526"/>
      <c r="BG573" s="526"/>
    </row>
    <row r="574" spans="1:59" s="830" customFormat="1" ht="17.25" customHeight="1" x14ac:dyDescent="0.25">
      <c r="A574" s="865"/>
      <c r="B574" s="865"/>
      <c r="C574" s="908"/>
      <c r="G574" s="865"/>
      <c r="H574" s="874"/>
      <c r="I574" s="869"/>
      <c r="J574" s="869"/>
      <c r="K574" s="869"/>
      <c r="L574" s="869"/>
      <c r="M574" s="874"/>
      <c r="O574" s="874"/>
      <c r="P574" s="874"/>
      <c r="Q574" s="874"/>
      <c r="R574" s="874"/>
      <c r="S574" s="874"/>
      <c r="T574" s="874"/>
      <c r="W574" s="874"/>
      <c r="X574" s="874"/>
      <c r="Y574" s="874"/>
      <c r="Z574" s="874"/>
      <c r="AA574" s="874"/>
      <c r="AD574" s="526"/>
      <c r="AE574" s="526"/>
      <c r="AF574" s="526"/>
      <c r="AG574" s="526"/>
      <c r="AH574" s="526"/>
      <c r="AI574" s="526"/>
      <c r="AJ574" s="526"/>
      <c r="AK574" s="526"/>
      <c r="AL574" s="526"/>
      <c r="AM574" s="526"/>
      <c r="AN574" s="526"/>
      <c r="AO574" s="526"/>
      <c r="AP574" s="526"/>
      <c r="AQ574" s="526"/>
      <c r="AR574" s="526"/>
      <c r="AS574" s="526"/>
      <c r="AT574" s="526"/>
      <c r="AU574" s="526"/>
      <c r="AV574" s="526"/>
      <c r="AW574" s="526"/>
      <c r="AX574" s="526"/>
      <c r="AY574" s="526"/>
      <c r="AZ574" s="526"/>
      <c r="BA574" s="526"/>
      <c r="BB574" s="526"/>
      <c r="BC574" s="526"/>
      <c r="BD574" s="526"/>
      <c r="BE574" s="526"/>
      <c r="BF574" s="526"/>
      <c r="BG574" s="526"/>
    </row>
    <row r="575" spans="1:59" s="830" customFormat="1" ht="17.25" customHeight="1" x14ac:dyDescent="0.25">
      <c r="A575" s="865"/>
      <c r="B575" s="865"/>
      <c r="C575" s="908"/>
      <c r="G575" s="865"/>
      <c r="H575" s="874"/>
      <c r="I575" s="869"/>
      <c r="J575" s="869"/>
      <c r="K575" s="869"/>
      <c r="L575" s="869"/>
      <c r="M575" s="874"/>
      <c r="O575" s="874"/>
      <c r="P575" s="874"/>
      <c r="Q575" s="874"/>
      <c r="R575" s="874"/>
      <c r="S575" s="874"/>
      <c r="T575" s="874"/>
      <c r="W575" s="874"/>
      <c r="X575" s="874"/>
      <c r="Y575" s="874"/>
      <c r="Z575" s="874"/>
      <c r="AA575" s="874"/>
      <c r="AD575" s="526"/>
      <c r="AE575" s="526"/>
      <c r="AF575" s="526"/>
      <c r="AG575" s="526"/>
      <c r="AH575" s="526"/>
      <c r="AI575" s="526"/>
      <c r="AJ575" s="526"/>
      <c r="AK575" s="526"/>
      <c r="AL575" s="526"/>
      <c r="AM575" s="526"/>
      <c r="AN575" s="526"/>
      <c r="AO575" s="526"/>
      <c r="AP575" s="526"/>
      <c r="AQ575" s="526"/>
      <c r="AR575" s="526"/>
      <c r="AS575" s="526"/>
      <c r="AT575" s="526"/>
      <c r="AU575" s="526"/>
      <c r="AV575" s="526"/>
      <c r="AW575" s="526"/>
      <c r="AX575" s="526"/>
      <c r="AY575" s="526"/>
      <c r="AZ575" s="526"/>
      <c r="BA575" s="526"/>
      <c r="BB575" s="526"/>
      <c r="BC575" s="526"/>
      <c r="BD575" s="526"/>
      <c r="BE575" s="526"/>
      <c r="BF575" s="526"/>
      <c r="BG575" s="526"/>
    </row>
    <row r="576" spans="1:59" s="830" customFormat="1" ht="17.25" customHeight="1" x14ac:dyDescent="0.25">
      <c r="A576" s="865"/>
      <c r="B576" s="865"/>
      <c r="C576" s="908"/>
      <c r="G576" s="865"/>
      <c r="H576" s="874"/>
      <c r="I576" s="869"/>
      <c r="J576" s="869"/>
      <c r="K576" s="869"/>
      <c r="L576" s="869"/>
      <c r="M576" s="874"/>
      <c r="O576" s="874"/>
      <c r="P576" s="874"/>
      <c r="Q576" s="874"/>
      <c r="R576" s="874"/>
      <c r="S576" s="874"/>
      <c r="T576" s="874"/>
      <c r="W576" s="874"/>
      <c r="X576" s="874"/>
      <c r="Y576" s="874"/>
      <c r="Z576" s="874"/>
      <c r="AA576" s="874"/>
      <c r="AD576" s="526"/>
      <c r="AE576" s="526"/>
      <c r="AF576" s="526"/>
      <c r="AG576" s="526"/>
      <c r="AH576" s="526"/>
      <c r="AI576" s="526"/>
      <c r="AJ576" s="526"/>
      <c r="AK576" s="526"/>
      <c r="AL576" s="526"/>
      <c r="AM576" s="526"/>
      <c r="AN576" s="526"/>
      <c r="AO576" s="526"/>
      <c r="AP576" s="526"/>
      <c r="AQ576" s="526"/>
      <c r="AR576" s="526"/>
      <c r="AS576" s="526"/>
      <c r="AT576" s="526"/>
      <c r="AU576" s="526"/>
      <c r="AV576" s="526"/>
      <c r="AW576" s="526"/>
      <c r="AX576" s="526"/>
      <c r="AY576" s="526"/>
      <c r="AZ576" s="526"/>
      <c r="BA576" s="526"/>
      <c r="BB576" s="526"/>
      <c r="BC576" s="526"/>
      <c r="BD576" s="526"/>
      <c r="BE576" s="526"/>
      <c r="BF576" s="526"/>
      <c r="BG576" s="526"/>
    </row>
    <row r="577" spans="1:59" s="830" customFormat="1" ht="17.25" customHeight="1" x14ac:dyDescent="0.25">
      <c r="A577" s="865"/>
      <c r="B577" s="865"/>
      <c r="C577" s="908"/>
      <c r="G577" s="865"/>
      <c r="H577" s="874"/>
      <c r="I577" s="869"/>
      <c r="J577" s="869"/>
      <c r="K577" s="869"/>
      <c r="L577" s="869"/>
      <c r="M577" s="874"/>
      <c r="O577" s="874"/>
      <c r="P577" s="874"/>
      <c r="Q577" s="874"/>
      <c r="R577" s="874"/>
      <c r="S577" s="874"/>
      <c r="T577" s="874"/>
      <c r="W577" s="874"/>
      <c r="X577" s="874"/>
      <c r="Y577" s="874"/>
      <c r="Z577" s="874"/>
      <c r="AA577" s="874"/>
      <c r="AD577" s="526"/>
      <c r="AE577" s="526"/>
      <c r="AF577" s="526"/>
      <c r="AG577" s="526"/>
      <c r="AH577" s="526"/>
      <c r="AI577" s="526"/>
      <c r="AJ577" s="526"/>
      <c r="AK577" s="526"/>
      <c r="AL577" s="526"/>
      <c r="AM577" s="526"/>
      <c r="AN577" s="526"/>
      <c r="AO577" s="526"/>
      <c r="AP577" s="526"/>
      <c r="AQ577" s="526"/>
      <c r="AR577" s="526"/>
      <c r="AS577" s="526"/>
      <c r="AT577" s="526"/>
      <c r="AU577" s="526"/>
      <c r="AV577" s="526"/>
      <c r="AW577" s="526"/>
      <c r="AX577" s="526"/>
      <c r="AY577" s="526"/>
      <c r="AZ577" s="526"/>
      <c r="BA577" s="526"/>
      <c r="BB577" s="526"/>
      <c r="BC577" s="526"/>
      <c r="BD577" s="526"/>
      <c r="BE577" s="526"/>
      <c r="BF577" s="526"/>
      <c r="BG577" s="526"/>
    </row>
    <row r="578" spans="1:59" s="830" customFormat="1" ht="17.25" customHeight="1" x14ac:dyDescent="0.25">
      <c r="A578" s="865"/>
      <c r="B578" s="865"/>
      <c r="C578" s="908"/>
      <c r="G578" s="865"/>
      <c r="H578" s="874"/>
      <c r="I578" s="869"/>
      <c r="J578" s="869"/>
      <c r="K578" s="869"/>
      <c r="L578" s="869"/>
      <c r="M578" s="874"/>
      <c r="O578" s="874"/>
      <c r="P578" s="874"/>
      <c r="Q578" s="874"/>
      <c r="R578" s="874"/>
      <c r="S578" s="874"/>
      <c r="T578" s="874"/>
      <c r="W578" s="874"/>
      <c r="X578" s="874"/>
      <c r="Y578" s="874"/>
      <c r="Z578" s="874"/>
      <c r="AA578" s="874"/>
      <c r="AD578" s="526"/>
      <c r="AE578" s="526"/>
      <c r="AF578" s="526"/>
      <c r="AG578" s="526"/>
      <c r="AH578" s="526"/>
      <c r="AI578" s="526"/>
      <c r="AJ578" s="526"/>
      <c r="AK578" s="526"/>
      <c r="AL578" s="526"/>
      <c r="AM578" s="526"/>
      <c r="AN578" s="526"/>
      <c r="AO578" s="526"/>
      <c r="AP578" s="526"/>
      <c r="AQ578" s="526"/>
      <c r="AR578" s="526"/>
      <c r="AS578" s="526"/>
      <c r="AT578" s="526"/>
      <c r="AU578" s="526"/>
      <c r="AV578" s="526"/>
      <c r="AW578" s="526"/>
      <c r="AX578" s="526"/>
      <c r="AY578" s="526"/>
      <c r="AZ578" s="526"/>
      <c r="BA578" s="526"/>
      <c r="BB578" s="526"/>
      <c r="BC578" s="526"/>
      <c r="BD578" s="526"/>
      <c r="BE578" s="526"/>
      <c r="BF578" s="526"/>
      <c r="BG578" s="526"/>
    </row>
    <row r="579" spans="1:59" s="830" customFormat="1" ht="17.25" customHeight="1" x14ac:dyDescent="0.25">
      <c r="A579" s="865"/>
      <c r="B579" s="865"/>
      <c r="C579" s="908"/>
      <c r="G579" s="865"/>
      <c r="H579" s="874"/>
      <c r="I579" s="869"/>
      <c r="J579" s="869"/>
      <c r="K579" s="869"/>
      <c r="L579" s="869"/>
      <c r="M579" s="874"/>
      <c r="O579" s="874"/>
      <c r="P579" s="874"/>
      <c r="Q579" s="874"/>
      <c r="R579" s="874"/>
      <c r="S579" s="874"/>
      <c r="T579" s="874"/>
      <c r="W579" s="874"/>
      <c r="X579" s="874"/>
      <c r="Y579" s="874"/>
      <c r="Z579" s="874"/>
      <c r="AA579" s="874"/>
      <c r="AD579" s="526"/>
      <c r="AE579" s="526"/>
      <c r="AF579" s="526"/>
      <c r="AG579" s="526"/>
      <c r="AH579" s="526"/>
      <c r="AI579" s="526"/>
      <c r="AJ579" s="526"/>
      <c r="AK579" s="526"/>
      <c r="AL579" s="526"/>
      <c r="AM579" s="526"/>
      <c r="AN579" s="526"/>
      <c r="AO579" s="526"/>
      <c r="AP579" s="526"/>
      <c r="AQ579" s="526"/>
      <c r="AR579" s="526"/>
      <c r="AS579" s="526"/>
      <c r="AT579" s="526"/>
      <c r="AU579" s="526"/>
      <c r="AV579" s="526"/>
      <c r="AW579" s="526"/>
      <c r="AX579" s="526"/>
      <c r="AY579" s="526"/>
      <c r="AZ579" s="526"/>
      <c r="BA579" s="526"/>
      <c r="BB579" s="526"/>
      <c r="BC579" s="526"/>
      <c r="BD579" s="526"/>
      <c r="BE579" s="526"/>
      <c r="BF579" s="526"/>
      <c r="BG579" s="526"/>
    </row>
    <row r="580" spans="1:59" s="830" customFormat="1" ht="17.25" customHeight="1" x14ac:dyDescent="0.25">
      <c r="A580" s="865"/>
      <c r="B580" s="865"/>
      <c r="C580" s="908"/>
      <c r="G580" s="865"/>
      <c r="H580" s="874"/>
      <c r="I580" s="869"/>
      <c r="J580" s="869"/>
      <c r="K580" s="869"/>
      <c r="L580" s="869"/>
      <c r="M580" s="874"/>
      <c r="O580" s="874"/>
      <c r="P580" s="874"/>
      <c r="Q580" s="874"/>
      <c r="R580" s="874"/>
      <c r="S580" s="874"/>
      <c r="T580" s="874"/>
      <c r="W580" s="874"/>
      <c r="X580" s="874"/>
      <c r="Y580" s="874"/>
      <c r="Z580" s="874"/>
      <c r="AA580" s="874"/>
      <c r="AD580" s="526"/>
      <c r="AE580" s="526"/>
      <c r="AF580" s="526"/>
      <c r="AG580" s="526"/>
      <c r="AH580" s="526"/>
      <c r="AI580" s="526"/>
      <c r="AJ580" s="526"/>
      <c r="AK580" s="526"/>
      <c r="AL580" s="526"/>
      <c r="AM580" s="526"/>
      <c r="AN580" s="526"/>
      <c r="AO580" s="526"/>
      <c r="AP580" s="526"/>
      <c r="AQ580" s="526"/>
      <c r="AR580" s="526"/>
      <c r="AS580" s="526"/>
      <c r="AT580" s="526"/>
      <c r="AU580" s="526"/>
      <c r="AV580" s="526"/>
      <c r="AW580" s="526"/>
      <c r="AX580" s="526"/>
      <c r="AY580" s="526"/>
      <c r="AZ580" s="526"/>
      <c r="BA580" s="526"/>
      <c r="BB580" s="526"/>
      <c r="BC580" s="526"/>
      <c r="BD580" s="526"/>
      <c r="BE580" s="526"/>
      <c r="BF580" s="526"/>
      <c r="BG580" s="526"/>
    </row>
    <row r="581" spans="1:59" s="830" customFormat="1" ht="17.25" customHeight="1" x14ac:dyDescent="0.25">
      <c r="A581" s="865"/>
      <c r="B581" s="865"/>
      <c r="C581" s="908"/>
      <c r="G581" s="865"/>
      <c r="H581" s="874"/>
      <c r="I581" s="869"/>
      <c r="J581" s="869"/>
      <c r="K581" s="869"/>
      <c r="L581" s="869"/>
      <c r="M581" s="874"/>
      <c r="O581" s="874"/>
      <c r="P581" s="874"/>
      <c r="Q581" s="874"/>
      <c r="R581" s="874"/>
      <c r="S581" s="874"/>
      <c r="T581" s="874"/>
      <c r="W581" s="874"/>
      <c r="X581" s="874"/>
      <c r="Y581" s="874"/>
      <c r="Z581" s="874"/>
      <c r="AA581" s="874"/>
      <c r="AD581" s="526"/>
      <c r="AE581" s="526"/>
      <c r="AF581" s="526"/>
      <c r="AG581" s="526"/>
      <c r="AH581" s="526"/>
      <c r="AI581" s="526"/>
      <c r="AJ581" s="526"/>
      <c r="AK581" s="526"/>
      <c r="AL581" s="526"/>
      <c r="AM581" s="526"/>
      <c r="AN581" s="526"/>
      <c r="AO581" s="526"/>
      <c r="AP581" s="526"/>
      <c r="AQ581" s="526"/>
      <c r="AR581" s="526"/>
      <c r="AS581" s="526"/>
      <c r="AT581" s="526"/>
      <c r="AU581" s="526"/>
      <c r="AV581" s="526"/>
      <c r="AW581" s="526"/>
      <c r="AX581" s="526"/>
      <c r="AY581" s="526"/>
      <c r="AZ581" s="526"/>
      <c r="BA581" s="526"/>
      <c r="BB581" s="526"/>
      <c r="BC581" s="526"/>
      <c r="BD581" s="526"/>
      <c r="BE581" s="526"/>
      <c r="BF581" s="526"/>
      <c r="BG581" s="526"/>
    </row>
    <row r="582" spans="1:59" s="830" customFormat="1" ht="17.25" customHeight="1" x14ac:dyDescent="0.25">
      <c r="A582" s="865"/>
      <c r="B582" s="865"/>
      <c r="C582" s="908"/>
      <c r="G582" s="865"/>
      <c r="H582" s="874"/>
      <c r="I582" s="869"/>
      <c r="J582" s="869"/>
      <c r="K582" s="869"/>
      <c r="L582" s="869"/>
      <c r="M582" s="874"/>
      <c r="O582" s="874"/>
      <c r="P582" s="874"/>
      <c r="Q582" s="874"/>
      <c r="R582" s="874"/>
      <c r="S582" s="874"/>
      <c r="T582" s="874"/>
      <c r="W582" s="874"/>
      <c r="X582" s="874"/>
      <c r="Y582" s="874"/>
      <c r="Z582" s="874"/>
      <c r="AA582" s="874"/>
      <c r="AD582" s="526"/>
      <c r="AE582" s="526"/>
      <c r="AF582" s="526"/>
      <c r="AG582" s="526"/>
      <c r="AH582" s="526"/>
      <c r="AI582" s="526"/>
      <c r="AJ582" s="526"/>
      <c r="AK582" s="526"/>
      <c r="AL582" s="526"/>
      <c r="AM582" s="526"/>
      <c r="AN582" s="526"/>
      <c r="AO582" s="526"/>
      <c r="AP582" s="526"/>
      <c r="AQ582" s="526"/>
      <c r="AR582" s="526"/>
      <c r="AS582" s="526"/>
      <c r="AT582" s="526"/>
      <c r="AU582" s="526"/>
      <c r="AV582" s="526"/>
      <c r="AW582" s="526"/>
      <c r="AX582" s="526"/>
      <c r="AY582" s="526"/>
      <c r="AZ582" s="526"/>
      <c r="BA582" s="526"/>
      <c r="BB582" s="526"/>
      <c r="BC582" s="526"/>
      <c r="BD582" s="526"/>
      <c r="BE582" s="526"/>
      <c r="BF582" s="526"/>
      <c r="BG582" s="526"/>
    </row>
    <row r="583" spans="1:59" s="830" customFormat="1" ht="17.25" customHeight="1" x14ac:dyDescent="0.25">
      <c r="A583" s="865"/>
      <c r="B583" s="865"/>
      <c r="C583" s="908"/>
      <c r="G583" s="865"/>
      <c r="H583" s="874"/>
      <c r="I583" s="869"/>
      <c r="J583" s="869"/>
      <c r="K583" s="869"/>
      <c r="L583" s="869"/>
      <c r="M583" s="874"/>
      <c r="O583" s="874"/>
      <c r="P583" s="874"/>
      <c r="Q583" s="874"/>
      <c r="R583" s="874"/>
      <c r="S583" s="874"/>
      <c r="T583" s="874"/>
      <c r="W583" s="874"/>
      <c r="X583" s="874"/>
      <c r="Y583" s="874"/>
      <c r="Z583" s="874"/>
      <c r="AA583" s="874"/>
      <c r="AD583" s="526"/>
      <c r="AE583" s="526"/>
      <c r="AF583" s="526"/>
      <c r="AG583" s="526"/>
      <c r="AH583" s="526"/>
      <c r="AI583" s="526"/>
      <c r="AJ583" s="526"/>
      <c r="AK583" s="526"/>
      <c r="AL583" s="526"/>
      <c r="AM583" s="526"/>
      <c r="AN583" s="526"/>
      <c r="AO583" s="526"/>
      <c r="AP583" s="526"/>
      <c r="AQ583" s="526"/>
      <c r="AR583" s="526"/>
      <c r="AS583" s="526"/>
      <c r="AT583" s="526"/>
      <c r="AU583" s="526"/>
      <c r="AV583" s="526"/>
      <c r="AW583" s="526"/>
      <c r="AX583" s="526"/>
      <c r="AY583" s="526"/>
      <c r="AZ583" s="526"/>
      <c r="BA583" s="526"/>
      <c r="BB583" s="526"/>
      <c r="BC583" s="526"/>
      <c r="BD583" s="526"/>
      <c r="BE583" s="526"/>
      <c r="BF583" s="526"/>
      <c r="BG583" s="526"/>
    </row>
    <row r="584" spans="1:59" s="830" customFormat="1" ht="17.25" customHeight="1" x14ac:dyDescent="0.25">
      <c r="A584" s="865"/>
      <c r="B584" s="865"/>
      <c r="C584" s="908"/>
      <c r="G584" s="865"/>
      <c r="H584" s="874"/>
      <c r="I584" s="869"/>
      <c r="J584" s="869"/>
      <c r="K584" s="869"/>
      <c r="L584" s="869"/>
      <c r="M584" s="874"/>
      <c r="O584" s="874"/>
      <c r="P584" s="874"/>
      <c r="Q584" s="874"/>
      <c r="R584" s="874"/>
      <c r="S584" s="874"/>
      <c r="T584" s="874"/>
      <c r="W584" s="874"/>
      <c r="X584" s="874"/>
      <c r="Y584" s="874"/>
      <c r="Z584" s="874"/>
      <c r="AA584" s="874"/>
      <c r="AD584" s="526"/>
      <c r="AE584" s="526"/>
      <c r="AF584" s="526"/>
      <c r="AG584" s="526"/>
      <c r="AH584" s="526"/>
      <c r="AI584" s="526"/>
      <c r="AJ584" s="526"/>
      <c r="AK584" s="526"/>
      <c r="AL584" s="526"/>
      <c r="AM584" s="526"/>
      <c r="AN584" s="526"/>
      <c r="AO584" s="526"/>
      <c r="AP584" s="526"/>
      <c r="AQ584" s="526"/>
      <c r="AR584" s="526"/>
      <c r="AS584" s="526"/>
      <c r="AT584" s="526"/>
      <c r="AU584" s="526"/>
      <c r="AV584" s="526"/>
      <c r="AW584" s="526"/>
      <c r="AX584" s="526"/>
      <c r="AY584" s="526"/>
      <c r="AZ584" s="526"/>
      <c r="BA584" s="526"/>
      <c r="BB584" s="526"/>
      <c r="BC584" s="526"/>
      <c r="BD584" s="526"/>
      <c r="BE584" s="526"/>
      <c r="BF584" s="526"/>
      <c r="BG584" s="526"/>
    </row>
    <row r="585" spans="1:59" s="830" customFormat="1" ht="17.25" customHeight="1" x14ac:dyDescent="0.25">
      <c r="A585" s="865"/>
      <c r="B585" s="865"/>
      <c r="C585" s="908"/>
      <c r="G585" s="865"/>
      <c r="H585" s="874"/>
      <c r="I585" s="869"/>
      <c r="J585" s="869"/>
      <c r="K585" s="869"/>
      <c r="L585" s="869"/>
      <c r="M585" s="874"/>
      <c r="O585" s="874"/>
      <c r="P585" s="874"/>
      <c r="Q585" s="874"/>
      <c r="R585" s="874"/>
      <c r="S585" s="874"/>
      <c r="T585" s="874"/>
      <c r="W585" s="874"/>
      <c r="X585" s="874"/>
      <c r="Y585" s="874"/>
      <c r="Z585" s="874"/>
      <c r="AA585" s="874"/>
      <c r="AD585" s="526"/>
      <c r="AE585" s="526"/>
      <c r="AF585" s="526"/>
      <c r="AG585" s="526"/>
      <c r="AH585" s="526"/>
      <c r="AI585" s="526"/>
      <c r="AJ585" s="526"/>
      <c r="AK585" s="526"/>
      <c r="AL585" s="526"/>
      <c r="AM585" s="526"/>
      <c r="AN585" s="526"/>
      <c r="AO585" s="526"/>
      <c r="AP585" s="526"/>
      <c r="AQ585" s="526"/>
      <c r="AR585" s="526"/>
      <c r="AS585" s="526"/>
      <c r="AT585" s="526"/>
      <c r="AU585" s="526"/>
      <c r="AV585" s="526"/>
      <c r="AW585" s="526"/>
      <c r="AX585" s="526"/>
      <c r="AY585" s="526"/>
      <c r="AZ585" s="526"/>
      <c r="BA585" s="526"/>
      <c r="BB585" s="526"/>
      <c r="BC585" s="526"/>
      <c r="BD585" s="526"/>
      <c r="BE585" s="526"/>
      <c r="BF585" s="526"/>
      <c r="BG585" s="526"/>
    </row>
    <row r="586" spans="1:59" s="830" customFormat="1" ht="17.25" customHeight="1" x14ac:dyDescent="0.25">
      <c r="A586" s="865"/>
      <c r="B586" s="865"/>
      <c r="C586" s="908"/>
      <c r="G586" s="865"/>
      <c r="H586" s="874"/>
      <c r="I586" s="869"/>
      <c r="J586" s="869"/>
      <c r="K586" s="869"/>
      <c r="L586" s="869"/>
      <c r="M586" s="874"/>
      <c r="O586" s="874"/>
      <c r="P586" s="874"/>
      <c r="Q586" s="874"/>
      <c r="R586" s="874"/>
      <c r="S586" s="874"/>
      <c r="T586" s="874"/>
      <c r="W586" s="874"/>
      <c r="X586" s="874"/>
      <c r="Y586" s="874"/>
      <c r="Z586" s="874"/>
      <c r="AA586" s="874"/>
      <c r="AD586" s="526"/>
      <c r="AE586" s="526"/>
      <c r="AF586" s="526"/>
      <c r="AG586" s="526"/>
      <c r="AH586" s="526"/>
      <c r="AI586" s="526"/>
      <c r="AJ586" s="526"/>
      <c r="AK586" s="526"/>
      <c r="AL586" s="526"/>
      <c r="AM586" s="526"/>
      <c r="AN586" s="526"/>
      <c r="AO586" s="526"/>
      <c r="AP586" s="526"/>
      <c r="AQ586" s="526"/>
      <c r="AR586" s="526"/>
      <c r="AS586" s="526"/>
      <c r="AT586" s="526"/>
      <c r="AU586" s="526"/>
      <c r="AV586" s="526"/>
      <c r="AW586" s="526"/>
      <c r="AX586" s="526"/>
      <c r="AY586" s="526"/>
      <c r="AZ586" s="526"/>
      <c r="BA586" s="526"/>
      <c r="BB586" s="526"/>
      <c r="BC586" s="526"/>
      <c r="BD586" s="526"/>
      <c r="BE586" s="526"/>
      <c r="BF586" s="526"/>
      <c r="BG586" s="526"/>
    </row>
    <row r="587" spans="1:59" s="830" customFormat="1" ht="17.25" customHeight="1" x14ac:dyDescent="0.25">
      <c r="A587" s="865"/>
      <c r="B587" s="865"/>
      <c r="C587" s="908"/>
      <c r="G587" s="865"/>
      <c r="H587" s="874"/>
      <c r="I587" s="869"/>
      <c r="J587" s="869"/>
      <c r="K587" s="869"/>
      <c r="L587" s="869"/>
      <c r="M587" s="874"/>
      <c r="O587" s="874"/>
      <c r="P587" s="874"/>
      <c r="Q587" s="874"/>
      <c r="R587" s="874"/>
      <c r="S587" s="874"/>
      <c r="T587" s="874"/>
      <c r="W587" s="874"/>
      <c r="X587" s="874"/>
      <c r="Y587" s="874"/>
      <c r="Z587" s="874"/>
      <c r="AA587" s="874"/>
      <c r="AD587" s="526"/>
      <c r="AE587" s="526"/>
      <c r="AF587" s="526"/>
      <c r="AG587" s="526"/>
      <c r="AH587" s="526"/>
      <c r="AI587" s="526"/>
      <c r="AJ587" s="526"/>
      <c r="AK587" s="526"/>
      <c r="AL587" s="526"/>
      <c r="AM587" s="526"/>
      <c r="AN587" s="526"/>
      <c r="AO587" s="526"/>
      <c r="AP587" s="526"/>
      <c r="AQ587" s="526"/>
      <c r="AR587" s="526"/>
      <c r="AS587" s="526"/>
      <c r="AT587" s="526"/>
      <c r="AU587" s="526"/>
      <c r="AV587" s="526"/>
      <c r="AW587" s="526"/>
      <c r="AX587" s="526"/>
      <c r="AY587" s="526"/>
      <c r="AZ587" s="526"/>
      <c r="BA587" s="526"/>
      <c r="BB587" s="526"/>
      <c r="BC587" s="526"/>
      <c r="BD587" s="526"/>
      <c r="BE587" s="526"/>
      <c r="BF587" s="526"/>
      <c r="BG587" s="526"/>
    </row>
    <row r="588" spans="1:59" s="830" customFormat="1" ht="17.25" customHeight="1" x14ac:dyDescent="0.25">
      <c r="A588" s="865"/>
      <c r="B588" s="865"/>
      <c r="C588" s="908"/>
      <c r="G588" s="865"/>
      <c r="H588" s="874"/>
      <c r="I588" s="869"/>
      <c r="J588" s="869"/>
      <c r="K588" s="869"/>
      <c r="L588" s="869"/>
      <c r="M588" s="874"/>
      <c r="O588" s="874"/>
      <c r="P588" s="874"/>
      <c r="Q588" s="874"/>
      <c r="R588" s="874"/>
      <c r="S588" s="874"/>
      <c r="T588" s="874"/>
      <c r="W588" s="874"/>
      <c r="X588" s="874"/>
      <c r="Y588" s="874"/>
      <c r="Z588" s="874"/>
      <c r="AA588" s="874"/>
      <c r="AD588" s="526"/>
      <c r="AE588" s="526"/>
      <c r="AF588" s="526"/>
      <c r="AG588" s="526"/>
      <c r="AH588" s="526"/>
      <c r="AI588" s="526"/>
      <c r="AJ588" s="526"/>
      <c r="AK588" s="526"/>
      <c r="AL588" s="526"/>
      <c r="AM588" s="526"/>
      <c r="AN588" s="526"/>
      <c r="AO588" s="526"/>
      <c r="AP588" s="526"/>
      <c r="AQ588" s="526"/>
      <c r="AR588" s="526"/>
      <c r="AS588" s="526"/>
      <c r="AT588" s="526"/>
      <c r="AU588" s="526"/>
      <c r="AV588" s="526"/>
      <c r="AW588" s="526"/>
      <c r="AX588" s="526"/>
      <c r="AY588" s="526"/>
      <c r="AZ588" s="526"/>
      <c r="BA588" s="526"/>
      <c r="BB588" s="526"/>
      <c r="BC588" s="526"/>
      <c r="BD588" s="526"/>
      <c r="BE588" s="526"/>
      <c r="BF588" s="526"/>
      <c r="BG588" s="526"/>
    </row>
    <row r="589" spans="1:59" s="830" customFormat="1" ht="17.25" customHeight="1" x14ac:dyDescent="0.25">
      <c r="A589" s="865"/>
      <c r="B589" s="865"/>
      <c r="C589" s="908"/>
      <c r="G589" s="865"/>
      <c r="H589" s="874"/>
      <c r="I589" s="869"/>
      <c r="J589" s="869"/>
      <c r="K589" s="869"/>
      <c r="L589" s="869"/>
      <c r="M589" s="874"/>
      <c r="O589" s="874"/>
      <c r="P589" s="874"/>
      <c r="Q589" s="874"/>
      <c r="R589" s="874"/>
      <c r="S589" s="874"/>
      <c r="T589" s="874"/>
      <c r="W589" s="874"/>
      <c r="X589" s="874"/>
      <c r="Y589" s="874"/>
      <c r="Z589" s="874"/>
      <c r="AA589" s="874"/>
      <c r="AD589" s="526"/>
      <c r="AE589" s="526"/>
      <c r="AF589" s="526"/>
      <c r="AG589" s="526"/>
      <c r="AH589" s="526"/>
      <c r="AI589" s="526"/>
      <c r="AJ589" s="526"/>
      <c r="AK589" s="526"/>
      <c r="AL589" s="526"/>
      <c r="AM589" s="526"/>
      <c r="AN589" s="526"/>
      <c r="AO589" s="526"/>
      <c r="AP589" s="526"/>
      <c r="AQ589" s="526"/>
      <c r="AR589" s="526"/>
      <c r="AS589" s="526"/>
      <c r="AT589" s="526"/>
      <c r="AU589" s="526"/>
      <c r="AV589" s="526"/>
      <c r="AW589" s="526"/>
      <c r="AX589" s="526"/>
      <c r="AY589" s="526"/>
      <c r="AZ589" s="526"/>
      <c r="BA589" s="526"/>
      <c r="BB589" s="526"/>
      <c r="BC589" s="526"/>
      <c r="BD589" s="526"/>
      <c r="BE589" s="526"/>
      <c r="BF589" s="526"/>
      <c r="BG589" s="526"/>
    </row>
    <row r="590" spans="1:59" s="830" customFormat="1" ht="17.25" customHeight="1" x14ac:dyDescent="0.25">
      <c r="A590" s="865"/>
      <c r="B590" s="865"/>
      <c r="C590" s="908"/>
      <c r="G590" s="865"/>
      <c r="H590" s="874"/>
      <c r="I590" s="869"/>
      <c r="J590" s="869"/>
      <c r="K590" s="869"/>
      <c r="L590" s="869"/>
      <c r="M590" s="874"/>
      <c r="O590" s="874"/>
      <c r="P590" s="874"/>
      <c r="Q590" s="874"/>
      <c r="R590" s="874"/>
      <c r="S590" s="874"/>
      <c r="T590" s="874"/>
      <c r="W590" s="874"/>
      <c r="X590" s="874"/>
      <c r="Y590" s="874"/>
      <c r="Z590" s="874"/>
      <c r="AA590" s="874"/>
      <c r="AD590" s="526"/>
      <c r="AE590" s="526"/>
      <c r="AF590" s="526"/>
      <c r="AG590" s="526"/>
      <c r="AH590" s="526"/>
      <c r="AI590" s="526"/>
      <c r="AJ590" s="526"/>
      <c r="AK590" s="526"/>
      <c r="AL590" s="526"/>
      <c r="AM590" s="526"/>
      <c r="AN590" s="526"/>
      <c r="AO590" s="526"/>
      <c r="AP590" s="526"/>
      <c r="AQ590" s="526"/>
      <c r="AR590" s="526"/>
      <c r="AS590" s="526"/>
      <c r="AT590" s="526"/>
      <c r="AU590" s="526"/>
      <c r="AV590" s="526"/>
      <c r="AW590" s="526"/>
      <c r="AX590" s="526"/>
      <c r="AY590" s="526"/>
      <c r="AZ590" s="526"/>
      <c r="BA590" s="526"/>
      <c r="BB590" s="526"/>
      <c r="BC590" s="526"/>
      <c r="BD590" s="526"/>
      <c r="BE590" s="526"/>
      <c r="BF590" s="526"/>
      <c r="BG590" s="526"/>
    </row>
    <row r="591" spans="1:59" s="830" customFormat="1" ht="17.25" customHeight="1" x14ac:dyDescent="0.25">
      <c r="A591" s="865"/>
      <c r="B591" s="865"/>
      <c r="C591" s="908"/>
      <c r="G591" s="865"/>
      <c r="H591" s="874"/>
      <c r="I591" s="869"/>
      <c r="J591" s="869"/>
      <c r="K591" s="869"/>
      <c r="L591" s="869"/>
      <c r="M591" s="874"/>
      <c r="O591" s="874"/>
      <c r="P591" s="874"/>
      <c r="Q591" s="874"/>
      <c r="R591" s="874"/>
      <c r="S591" s="874"/>
      <c r="T591" s="874"/>
      <c r="W591" s="874"/>
      <c r="X591" s="874"/>
      <c r="Y591" s="874"/>
      <c r="Z591" s="874"/>
      <c r="AA591" s="874"/>
      <c r="AD591" s="526"/>
      <c r="AE591" s="526"/>
      <c r="AF591" s="526"/>
      <c r="AG591" s="526"/>
      <c r="AH591" s="526"/>
      <c r="AI591" s="526"/>
      <c r="AJ591" s="526"/>
      <c r="AK591" s="526"/>
      <c r="AL591" s="526"/>
      <c r="AM591" s="526"/>
      <c r="AN591" s="526"/>
      <c r="AO591" s="526"/>
      <c r="AP591" s="526"/>
      <c r="AQ591" s="526"/>
      <c r="AR591" s="526"/>
      <c r="AS591" s="526"/>
      <c r="AT591" s="526"/>
      <c r="AU591" s="526"/>
      <c r="AV591" s="526"/>
      <c r="AW591" s="526"/>
      <c r="AX591" s="526"/>
      <c r="AY591" s="526"/>
      <c r="AZ591" s="526"/>
      <c r="BA591" s="526"/>
      <c r="BB591" s="526"/>
      <c r="BC591" s="526"/>
      <c r="BD591" s="526"/>
      <c r="BE591" s="526"/>
      <c r="BF591" s="526"/>
      <c r="BG591" s="526"/>
    </row>
    <row r="592" spans="1:59" s="830" customFormat="1" ht="17.25" customHeight="1" x14ac:dyDescent="0.25">
      <c r="A592" s="865"/>
      <c r="B592" s="865"/>
      <c r="C592" s="908"/>
      <c r="G592" s="865"/>
      <c r="H592" s="874"/>
      <c r="I592" s="869"/>
      <c r="J592" s="869"/>
      <c r="K592" s="869"/>
      <c r="L592" s="869"/>
      <c r="M592" s="874"/>
      <c r="O592" s="874"/>
      <c r="P592" s="874"/>
      <c r="Q592" s="874"/>
      <c r="R592" s="874"/>
      <c r="S592" s="874"/>
      <c r="T592" s="874"/>
      <c r="W592" s="874"/>
      <c r="X592" s="874"/>
      <c r="Y592" s="874"/>
      <c r="Z592" s="874"/>
      <c r="AA592" s="874"/>
      <c r="AD592" s="526"/>
      <c r="AE592" s="526"/>
      <c r="AF592" s="526"/>
      <c r="AG592" s="526"/>
      <c r="AH592" s="526"/>
      <c r="AI592" s="526"/>
      <c r="AJ592" s="526"/>
      <c r="AK592" s="526"/>
      <c r="AL592" s="526"/>
      <c r="AM592" s="526"/>
      <c r="AN592" s="526"/>
      <c r="AO592" s="526"/>
      <c r="AP592" s="526"/>
      <c r="AQ592" s="526"/>
      <c r="AR592" s="526"/>
      <c r="AS592" s="526"/>
      <c r="AT592" s="526"/>
      <c r="AU592" s="526"/>
      <c r="AV592" s="526"/>
      <c r="AW592" s="526"/>
      <c r="AX592" s="526"/>
      <c r="AY592" s="526"/>
      <c r="AZ592" s="526"/>
      <c r="BA592" s="526"/>
      <c r="BB592" s="526"/>
      <c r="BC592" s="526"/>
      <c r="BD592" s="526"/>
      <c r="BE592" s="526"/>
      <c r="BF592" s="526"/>
      <c r="BG592" s="526"/>
    </row>
    <row r="593" spans="1:59" s="830" customFormat="1" ht="17.25" customHeight="1" x14ac:dyDescent="0.25">
      <c r="A593" s="865"/>
      <c r="B593" s="865"/>
      <c r="C593" s="908"/>
      <c r="G593" s="865"/>
      <c r="H593" s="874"/>
      <c r="I593" s="869"/>
      <c r="J593" s="869"/>
      <c r="K593" s="869"/>
      <c r="L593" s="869"/>
      <c r="M593" s="874"/>
      <c r="O593" s="874"/>
      <c r="P593" s="874"/>
      <c r="Q593" s="874"/>
      <c r="R593" s="874"/>
      <c r="S593" s="874"/>
      <c r="T593" s="874"/>
      <c r="W593" s="874"/>
      <c r="X593" s="874"/>
      <c r="Y593" s="874"/>
      <c r="Z593" s="874"/>
      <c r="AA593" s="874"/>
      <c r="AD593" s="526"/>
      <c r="AE593" s="526"/>
      <c r="AF593" s="526"/>
      <c r="AG593" s="526"/>
      <c r="AH593" s="526"/>
      <c r="AI593" s="526"/>
      <c r="AJ593" s="526"/>
      <c r="AK593" s="526"/>
      <c r="AL593" s="526"/>
      <c r="AM593" s="526"/>
      <c r="AN593" s="526"/>
      <c r="AO593" s="526"/>
      <c r="AP593" s="526"/>
      <c r="AQ593" s="526"/>
      <c r="AR593" s="526"/>
      <c r="AS593" s="526"/>
      <c r="AT593" s="526"/>
      <c r="AU593" s="526"/>
      <c r="AV593" s="526"/>
      <c r="AW593" s="526"/>
      <c r="AX593" s="526"/>
      <c r="AY593" s="526"/>
      <c r="AZ593" s="526"/>
      <c r="BA593" s="526"/>
      <c r="BB593" s="526"/>
      <c r="BC593" s="526"/>
      <c r="BD593" s="526"/>
      <c r="BE593" s="526"/>
      <c r="BF593" s="526"/>
      <c r="BG593" s="526"/>
    </row>
    <row r="594" spans="1:59" s="830" customFormat="1" ht="17.25" customHeight="1" x14ac:dyDescent="0.25">
      <c r="A594" s="865"/>
      <c r="B594" s="865"/>
      <c r="C594" s="908"/>
      <c r="G594" s="865"/>
      <c r="H594" s="874"/>
      <c r="I594" s="869"/>
      <c r="J594" s="869"/>
      <c r="K594" s="869"/>
      <c r="L594" s="869"/>
      <c r="M594" s="874"/>
      <c r="O594" s="874"/>
      <c r="P594" s="874"/>
      <c r="Q594" s="874"/>
      <c r="R594" s="874"/>
      <c r="S594" s="874"/>
      <c r="T594" s="874"/>
      <c r="W594" s="874"/>
      <c r="X594" s="874"/>
      <c r="Y594" s="874"/>
      <c r="Z594" s="874"/>
      <c r="AA594" s="874"/>
      <c r="AD594" s="526"/>
      <c r="AE594" s="526"/>
      <c r="AF594" s="526"/>
      <c r="AG594" s="526"/>
      <c r="AH594" s="526"/>
      <c r="AI594" s="526"/>
      <c r="AJ594" s="526"/>
      <c r="AK594" s="526"/>
      <c r="AL594" s="526"/>
      <c r="AM594" s="526"/>
      <c r="AN594" s="526"/>
      <c r="AO594" s="526"/>
      <c r="AP594" s="526"/>
      <c r="AQ594" s="526"/>
      <c r="AR594" s="526"/>
      <c r="AS594" s="526"/>
      <c r="AT594" s="526"/>
      <c r="AU594" s="526"/>
      <c r="AV594" s="526"/>
      <c r="AW594" s="526"/>
      <c r="AX594" s="526"/>
      <c r="AY594" s="526"/>
      <c r="AZ594" s="526"/>
      <c r="BA594" s="526"/>
      <c r="BB594" s="526"/>
      <c r="BC594" s="526"/>
      <c r="BD594" s="526"/>
      <c r="BE594" s="526"/>
      <c r="BF594" s="526"/>
      <c r="BG594" s="526"/>
    </row>
    <row r="595" spans="1:59" s="830" customFormat="1" ht="17.25" customHeight="1" x14ac:dyDescent="0.25">
      <c r="A595" s="865"/>
      <c r="B595" s="865"/>
      <c r="C595" s="908"/>
      <c r="G595" s="865"/>
      <c r="H595" s="874"/>
      <c r="I595" s="869"/>
      <c r="J595" s="869"/>
      <c r="K595" s="869"/>
      <c r="L595" s="869"/>
      <c r="M595" s="874"/>
      <c r="O595" s="874"/>
      <c r="P595" s="874"/>
      <c r="Q595" s="874"/>
      <c r="R595" s="874"/>
      <c r="S595" s="874"/>
      <c r="T595" s="874"/>
      <c r="W595" s="874"/>
      <c r="X595" s="874"/>
      <c r="Y595" s="874"/>
      <c r="Z595" s="874"/>
      <c r="AA595" s="874"/>
      <c r="AD595" s="526"/>
      <c r="AE595" s="526"/>
      <c r="AF595" s="526"/>
      <c r="AG595" s="526"/>
      <c r="AH595" s="526"/>
      <c r="AI595" s="526"/>
      <c r="AJ595" s="526"/>
      <c r="AK595" s="526"/>
      <c r="AL595" s="526"/>
      <c r="AM595" s="526"/>
      <c r="AN595" s="526"/>
      <c r="AO595" s="526"/>
      <c r="AP595" s="526"/>
      <c r="AQ595" s="526"/>
      <c r="AR595" s="526"/>
      <c r="AS595" s="526"/>
      <c r="AT595" s="526"/>
      <c r="AU595" s="526"/>
      <c r="AV595" s="526"/>
      <c r="AW595" s="526"/>
      <c r="AX595" s="526"/>
      <c r="AY595" s="526"/>
      <c r="AZ595" s="526"/>
      <c r="BA595" s="526"/>
      <c r="BB595" s="526"/>
      <c r="BC595" s="526"/>
      <c r="BD595" s="526"/>
      <c r="BE595" s="526"/>
      <c r="BF595" s="526"/>
      <c r="BG595" s="526"/>
    </row>
    <row r="596" spans="1:59" s="830" customFormat="1" ht="17.25" customHeight="1" x14ac:dyDescent="0.25">
      <c r="A596" s="865"/>
      <c r="B596" s="865"/>
      <c r="C596" s="908"/>
      <c r="G596" s="865"/>
      <c r="H596" s="874"/>
      <c r="I596" s="869"/>
      <c r="J596" s="869"/>
      <c r="K596" s="869"/>
      <c r="L596" s="869"/>
      <c r="M596" s="874"/>
      <c r="O596" s="874"/>
      <c r="P596" s="874"/>
      <c r="Q596" s="874"/>
      <c r="R596" s="874"/>
      <c r="S596" s="874"/>
      <c r="T596" s="874"/>
      <c r="W596" s="874"/>
      <c r="X596" s="874"/>
      <c r="Y596" s="874"/>
      <c r="Z596" s="874"/>
      <c r="AA596" s="874"/>
      <c r="AD596" s="526"/>
      <c r="AE596" s="526"/>
      <c r="AF596" s="526"/>
      <c r="AG596" s="526"/>
      <c r="AH596" s="526"/>
      <c r="AI596" s="526"/>
      <c r="AJ596" s="526"/>
      <c r="AK596" s="526"/>
      <c r="AL596" s="526"/>
      <c r="AM596" s="526"/>
      <c r="AN596" s="526"/>
      <c r="AO596" s="526"/>
      <c r="AP596" s="526"/>
      <c r="AQ596" s="526"/>
      <c r="AR596" s="526"/>
      <c r="AS596" s="526"/>
      <c r="AT596" s="526"/>
      <c r="AU596" s="526"/>
      <c r="AV596" s="526"/>
      <c r="AW596" s="526"/>
      <c r="AX596" s="526"/>
      <c r="AY596" s="526"/>
      <c r="AZ596" s="526"/>
      <c r="BA596" s="526"/>
      <c r="BB596" s="526"/>
      <c r="BC596" s="526"/>
      <c r="BD596" s="526"/>
      <c r="BE596" s="526"/>
      <c r="BF596" s="526"/>
      <c r="BG596" s="526"/>
    </row>
    <row r="597" spans="1:59" s="830" customFormat="1" ht="17.25" customHeight="1" x14ac:dyDescent="0.25">
      <c r="A597" s="865"/>
      <c r="B597" s="865"/>
      <c r="C597" s="908"/>
      <c r="G597" s="865"/>
      <c r="H597" s="874"/>
      <c r="I597" s="869"/>
      <c r="J597" s="869"/>
      <c r="K597" s="869"/>
      <c r="L597" s="869"/>
      <c r="M597" s="874"/>
      <c r="O597" s="874"/>
      <c r="P597" s="874"/>
      <c r="Q597" s="874"/>
      <c r="R597" s="874"/>
      <c r="S597" s="874"/>
      <c r="T597" s="874"/>
      <c r="W597" s="874"/>
      <c r="X597" s="874"/>
      <c r="Y597" s="874"/>
      <c r="Z597" s="874"/>
      <c r="AA597" s="874"/>
      <c r="AD597" s="526"/>
      <c r="AE597" s="526"/>
      <c r="AF597" s="526"/>
      <c r="AG597" s="526"/>
      <c r="AH597" s="526"/>
      <c r="AI597" s="526"/>
      <c r="AJ597" s="526"/>
      <c r="AK597" s="526"/>
      <c r="AL597" s="526"/>
      <c r="AM597" s="526"/>
      <c r="AN597" s="526"/>
      <c r="AO597" s="526"/>
      <c r="AP597" s="526"/>
      <c r="AQ597" s="526"/>
      <c r="AR597" s="526"/>
      <c r="AS597" s="526"/>
      <c r="AT597" s="526"/>
      <c r="AU597" s="526"/>
      <c r="AV597" s="526"/>
      <c r="AW597" s="526"/>
      <c r="AX597" s="526"/>
      <c r="AY597" s="526"/>
      <c r="AZ597" s="526"/>
      <c r="BA597" s="526"/>
      <c r="BB597" s="526"/>
      <c r="BC597" s="526"/>
      <c r="BD597" s="526"/>
      <c r="BE597" s="526"/>
      <c r="BF597" s="526"/>
      <c r="BG597" s="526"/>
    </row>
    <row r="598" spans="1:59" s="830" customFormat="1" ht="17.25" customHeight="1" x14ac:dyDescent="0.25">
      <c r="A598" s="865"/>
      <c r="B598" s="865"/>
      <c r="C598" s="908"/>
      <c r="G598" s="865"/>
      <c r="H598" s="874"/>
      <c r="I598" s="869"/>
      <c r="J598" s="869"/>
      <c r="K598" s="869"/>
      <c r="L598" s="869"/>
      <c r="M598" s="874"/>
      <c r="O598" s="874"/>
      <c r="P598" s="874"/>
      <c r="Q598" s="874"/>
      <c r="R598" s="874"/>
      <c r="S598" s="874"/>
      <c r="T598" s="874"/>
      <c r="W598" s="874"/>
      <c r="X598" s="874"/>
      <c r="Y598" s="874"/>
      <c r="Z598" s="874"/>
      <c r="AA598" s="874"/>
      <c r="AD598" s="526"/>
      <c r="AE598" s="526"/>
      <c r="AF598" s="526"/>
      <c r="AG598" s="526"/>
      <c r="AH598" s="526"/>
      <c r="AI598" s="526"/>
      <c r="AJ598" s="526"/>
      <c r="AK598" s="526"/>
      <c r="AL598" s="526"/>
      <c r="AM598" s="526"/>
      <c r="AN598" s="526"/>
      <c r="AO598" s="526"/>
      <c r="AP598" s="526"/>
      <c r="AQ598" s="526"/>
      <c r="AR598" s="526"/>
      <c r="AS598" s="526"/>
      <c r="AT598" s="526"/>
      <c r="AU598" s="526"/>
      <c r="AV598" s="526"/>
      <c r="AW598" s="526"/>
      <c r="AX598" s="526"/>
      <c r="AY598" s="526"/>
      <c r="AZ598" s="526"/>
      <c r="BA598" s="526"/>
      <c r="BB598" s="526"/>
      <c r="BC598" s="526"/>
      <c r="BD598" s="526"/>
      <c r="BE598" s="526"/>
      <c r="BF598" s="526"/>
      <c r="BG598" s="526"/>
    </row>
    <row r="599" spans="1:59" s="830" customFormat="1" ht="17.25" customHeight="1" x14ac:dyDescent="0.25">
      <c r="A599" s="865"/>
      <c r="B599" s="865"/>
      <c r="C599" s="908"/>
      <c r="G599" s="865"/>
      <c r="H599" s="874"/>
      <c r="I599" s="869"/>
      <c r="J599" s="869"/>
      <c r="K599" s="869"/>
      <c r="L599" s="869"/>
      <c r="M599" s="874"/>
      <c r="O599" s="874"/>
      <c r="P599" s="874"/>
      <c r="Q599" s="874"/>
      <c r="R599" s="874"/>
      <c r="S599" s="874"/>
      <c r="T599" s="874"/>
      <c r="W599" s="874"/>
      <c r="X599" s="874"/>
      <c r="Y599" s="874"/>
      <c r="Z599" s="874"/>
      <c r="AA599" s="874"/>
      <c r="AD599" s="526"/>
      <c r="AE599" s="526"/>
      <c r="AF599" s="526"/>
      <c r="AG599" s="526"/>
      <c r="AH599" s="526"/>
      <c r="AI599" s="526"/>
      <c r="AJ599" s="526"/>
      <c r="AK599" s="526"/>
      <c r="AL599" s="526"/>
      <c r="AM599" s="526"/>
      <c r="AN599" s="526"/>
      <c r="AO599" s="526"/>
      <c r="AP599" s="526"/>
      <c r="AQ599" s="526"/>
      <c r="AR599" s="526"/>
      <c r="AS599" s="526"/>
      <c r="AT599" s="526"/>
      <c r="AU599" s="526"/>
      <c r="AV599" s="526"/>
      <c r="AW599" s="526"/>
      <c r="AX599" s="526"/>
      <c r="AY599" s="526"/>
      <c r="AZ599" s="526"/>
      <c r="BA599" s="526"/>
      <c r="BB599" s="526"/>
      <c r="BC599" s="526"/>
      <c r="BD599" s="526"/>
      <c r="BE599" s="526"/>
      <c r="BF599" s="526"/>
      <c r="BG599" s="526"/>
    </row>
    <row r="600" spans="1:59" s="830" customFormat="1" ht="17.25" customHeight="1" x14ac:dyDescent="0.25">
      <c r="A600" s="865"/>
      <c r="B600" s="865"/>
      <c r="C600" s="908"/>
      <c r="G600" s="865"/>
      <c r="H600" s="874"/>
      <c r="I600" s="869"/>
      <c r="J600" s="869"/>
      <c r="K600" s="869"/>
      <c r="L600" s="869"/>
      <c r="M600" s="874"/>
      <c r="O600" s="874"/>
      <c r="P600" s="874"/>
      <c r="Q600" s="874"/>
      <c r="R600" s="874"/>
      <c r="S600" s="874"/>
      <c r="T600" s="874"/>
      <c r="W600" s="874"/>
      <c r="X600" s="874"/>
      <c r="Y600" s="874"/>
      <c r="Z600" s="874"/>
      <c r="AA600" s="874"/>
      <c r="AD600" s="526"/>
      <c r="AE600" s="526"/>
      <c r="AF600" s="526"/>
      <c r="AG600" s="526"/>
      <c r="AH600" s="526"/>
      <c r="AI600" s="526"/>
      <c r="AJ600" s="526"/>
      <c r="AK600" s="526"/>
      <c r="AL600" s="526"/>
      <c r="AM600" s="526"/>
      <c r="AN600" s="526"/>
      <c r="AO600" s="526"/>
      <c r="AP600" s="526"/>
      <c r="AQ600" s="526"/>
      <c r="AR600" s="526"/>
      <c r="AS600" s="526"/>
      <c r="AT600" s="526"/>
      <c r="AU600" s="526"/>
      <c r="AV600" s="526"/>
      <c r="AW600" s="526"/>
      <c r="AX600" s="526"/>
      <c r="AY600" s="526"/>
      <c r="AZ600" s="526"/>
      <c r="BA600" s="526"/>
      <c r="BB600" s="526"/>
      <c r="BC600" s="526"/>
      <c r="BD600" s="526"/>
      <c r="BE600" s="526"/>
      <c r="BF600" s="526"/>
      <c r="BG600" s="526"/>
    </row>
    <row r="601" spans="1:59" s="830" customFormat="1" ht="17.25" customHeight="1" x14ac:dyDescent="0.25">
      <c r="A601" s="865"/>
      <c r="B601" s="865"/>
      <c r="C601" s="908"/>
      <c r="G601" s="865"/>
      <c r="H601" s="874"/>
      <c r="I601" s="869"/>
      <c r="J601" s="869"/>
      <c r="K601" s="869"/>
      <c r="L601" s="869"/>
      <c r="M601" s="874"/>
      <c r="O601" s="874"/>
      <c r="P601" s="874"/>
      <c r="Q601" s="874"/>
      <c r="R601" s="874"/>
      <c r="S601" s="874"/>
      <c r="T601" s="874"/>
      <c r="W601" s="874"/>
      <c r="X601" s="874"/>
      <c r="Y601" s="874"/>
      <c r="Z601" s="874"/>
      <c r="AA601" s="874"/>
      <c r="AD601" s="526"/>
      <c r="AE601" s="526"/>
      <c r="AF601" s="526"/>
      <c r="AG601" s="526"/>
      <c r="AH601" s="526"/>
      <c r="AI601" s="526"/>
      <c r="AJ601" s="526"/>
      <c r="AK601" s="526"/>
      <c r="AL601" s="526"/>
      <c r="AM601" s="526"/>
      <c r="AN601" s="526"/>
      <c r="AO601" s="526"/>
      <c r="AP601" s="526"/>
      <c r="AQ601" s="526"/>
      <c r="AR601" s="526"/>
      <c r="AS601" s="526"/>
      <c r="AT601" s="526"/>
      <c r="AU601" s="526"/>
      <c r="AV601" s="526"/>
      <c r="AW601" s="526"/>
      <c r="AX601" s="526"/>
      <c r="AY601" s="526"/>
      <c r="AZ601" s="526"/>
      <c r="BA601" s="526"/>
      <c r="BB601" s="526"/>
      <c r="BC601" s="526"/>
      <c r="BD601" s="526"/>
      <c r="BE601" s="526"/>
      <c r="BF601" s="526"/>
      <c r="BG601" s="526"/>
    </row>
    <row r="602" spans="1:59" s="830" customFormat="1" ht="17.25" customHeight="1" x14ac:dyDescent="0.25">
      <c r="A602" s="865"/>
      <c r="B602" s="865"/>
      <c r="C602" s="908"/>
      <c r="G602" s="865"/>
      <c r="H602" s="874"/>
      <c r="I602" s="869"/>
      <c r="J602" s="869"/>
      <c r="K602" s="869"/>
      <c r="L602" s="869"/>
      <c r="M602" s="874"/>
      <c r="O602" s="874"/>
      <c r="P602" s="874"/>
      <c r="Q602" s="874"/>
      <c r="R602" s="874"/>
      <c r="S602" s="874"/>
      <c r="T602" s="874"/>
      <c r="W602" s="874"/>
      <c r="X602" s="874"/>
      <c r="Y602" s="874"/>
      <c r="Z602" s="874"/>
      <c r="AA602" s="874"/>
      <c r="AD602" s="526"/>
      <c r="AE602" s="526"/>
      <c r="AF602" s="526"/>
      <c r="AG602" s="526"/>
      <c r="AH602" s="526"/>
      <c r="AI602" s="526"/>
      <c r="AJ602" s="526"/>
      <c r="AK602" s="526"/>
      <c r="AL602" s="526"/>
      <c r="AM602" s="526"/>
      <c r="AN602" s="526"/>
      <c r="AO602" s="526"/>
      <c r="AP602" s="526"/>
      <c r="AQ602" s="526"/>
      <c r="AR602" s="526"/>
      <c r="AS602" s="526"/>
      <c r="AT602" s="526"/>
      <c r="AU602" s="526"/>
      <c r="AV602" s="526"/>
      <c r="AW602" s="526"/>
      <c r="AX602" s="526"/>
      <c r="AY602" s="526"/>
      <c r="AZ602" s="526"/>
      <c r="BA602" s="526"/>
      <c r="BB602" s="526"/>
      <c r="BC602" s="526"/>
      <c r="BD602" s="526"/>
      <c r="BE602" s="526"/>
      <c r="BF602" s="526"/>
      <c r="BG602" s="526"/>
    </row>
    <row r="603" spans="1:59" s="830" customFormat="1" ht="17.25" customHeight="1" x14ac:dyDescent="0.25">
      <c r="A603" s="865"/>
      <c r="B603" s="865"/>
      <c r="C603" s="908"/>
      <c r="G603" s="865"/>
      <c r="H603" s="874"/>
      <c r="I603" s="869"/>
      <c r="J603" s="869"/>
      <c r="K603" s="869"/>
      <c r="L603" s="869"/>
      <c r="M603" s="874"/>
      <c r="O603" s="874"/>
      <c r="P603" s="874"/>
      <c r="Q603" s="874"/>
      <c r="R603" s="874"/>
      <c r="S603" s="874"/>
      <c r="T603" s="874"/>
      <c r="W603" s="874"/>
      <c r="X603" s="874"/>
      <c r="Y603" s="874"/>
      <c r="Z603" s="874"/>
      <c r="AA603" s="874"/>
      <c r="AD603" s="526"/>
      <c r="AE603" s="526"/>
      <c r="AF603" s="526"/>
      <c r="AG603" s="526"/>
      <c r="AH603" s="526"/>
      <c r="AI603" s="526"/>
      <c r="AJ603" s="526"/>
      <c r="AK603" s="526"/>
      <c r="AL603" s="526"/>
      <c r="AM603" s="526"/>
      <c r="AN603" s="526"/>
      <c r="AO603" s="526"/>
      <c r="AP603" s="526"/>
      <c r="AQ603" s="526"/>
      <c r="AR603" s="526"/>
      <c r="AS603" s="526"/>
      <c r="AT603" s="526"/>
      <c r="AU603" s="526"/>
      <c r="AV603" s="526"/>
      <c r="AW603" s="526"/>
      <c r="AX603" s="526"/>
      <c r="AY603" s="526"/>
      <c r="AZ603" s="526"/>
      <c r="BA603" s="526"/>
      <c r="BB603" s="526"/>
      <c r="BC603" s="526"/>
      <c r="BD603" s="526"/>
      <c r="BE603" s="526"/>
      <c r="BF603" s="526"/>
      <c r="BG603" s="526"/>
    </row>
    <row r="604" spans="1:59" s="830" customFormat="1" ht="17.25" customHeight="1" x14ac:dyDescent="0.25">
      <c r="A604" s="865"/>
      <c r="B604" s="865"/>
      <c r="C604" s="908"/>
      <c r="G604" s="865"/>
      <c r="H604" s="874"/>
      <c r="I604" s="869"/>
      <c r="J604" s="869"/>
      <c r="K604" s="869"/>
      <c r="L604" s="869"/>
      <c r="M604" s="874"/>
      <c r="O604" s="874"/>
      <c r="P604" s="874"/>
      <c r="Q604" s="874"/>
      <c r="R604" s="874"/>
      <c r="S604" s="874"/>
      <c r="T604" s="874"/>
      <c r="W604" s="874"/>
      <c r="X604" s="874"/>
      <c r="Y604" s="874"/>
      <c r="Z604" s="874"/>
      <c r="AA604" s="874"/>
      <c r="AD604" s="526"/>
      <c r="AE604" s="526"/>
      <c r="AF604" s="526"/>
      <c r="AG604" s="526"/>
      <c r="AH604" s="526"/>
      <c r="AI604" s="526"/>
      <c r="AJ604" s="526"/>
      <c r="AK604" s="526"/>
      <c r="AL604" s="526"/>
      <c r="AM604" s="526"/>
      <c r="AN604" s="526"/>
      <c r="AO604" s="526"/>
      <c r="AP604" s="526"/>
      <c r="AQ604" s="526"/>
      <c r="AR604" s="526"/>
      <c r="AS604" s="526"/>
      <c r="AT604" s="526"/>
      <c r="AU604" s="526"/>
      <c r="AV604" s="526"/>
      <c r="AW604" s="526"/>
      <c r="AX604" s="526"/>
      <c r="AY604" s="526"/>
      <c r="AZ604" s="526"/>
      <c r="BA604" s="526"/>
      <c r="BB604" s="526"/>
      <c r="BC604" s="526"/>
      <c r="BD604" s="526"/>
      <c r="BE604" s="526"/>
      <c r="BF604" s="526"/>
      <c r="BG604" s="526"/>
    </row>
    <row r="605" spans="1:59" s="830" customFormat="1" ht="17.25" customHeight="1" x14ac:dyDescent="0.25">
      <c r="A605" s="865"/>
      <c r="B605" s="865"/>
      <c r="C605" s="908"/>
      <c r="G605" s="865"/>
      <c r="H605" s="874"/>
      <c r="I605" s="869"/>
      <c r="J605" s="869"/>
      <c r="K605" s="869"/>
      <c r="L605" s="869"/>
      <c r="M605" s="874"/>
      <c r="O605" s="874"/>
      <c r="P605" s="874"/>
      <c r="Q605" s="874"/>
      <c r="R605" s="874"/>
      <c r="S605" s="874"/>
      <c r="T605" s="874"/>
      <c r="W605" s="874"/>
      <c r="X605" s="874"/>
      <c r="Y605" s="874"/>
      <c r="Z605" s="874"/>
      <c r="AA605" s="874"/>
      <c r="AD605" s="526"/>
      <c r="AE605" s="526"/>
      <c r="AF605" s="526"/>
      <c r="AG605" s="526"/>
      <c r="AH605" s="526"/>
      <c r="AI605" s="526"/>
      <c r="AJ605" s="526"/>
      <c r="AK605" s="526"/>
      <c r="AL605" s="526"/>
      <c r="AM605" s="526"/>
      <c r="AN605" s="526"/>
      <c r="AO605" s="526"/>
      <c r="AP605" s="526"/>
      <c r="AQ605" s="526"/>
      <c r="AR605" s="526"/>
      <c r="AS605" s="526"/>
      <c r="AT605" s="526"/>
      <c r="AU605" s="526"/>
      <c r="AV605" s="526"/>
      <c r="AW605" s="526"/>
      <c r="AX605" s="526"/>
      <c r="AY605" s="526"/>
      <c r="AZ605" s="526"/>
      <c r="BA605" s="526"/>
      <c r="BB605" s="526"/>
      <c r="BC605" s="526"/>
      <c r="BD605" s="526"/>
      <c r="BE605" s="526"/>
      <c r="BF605" s="526"/>
      <c r="BG605" s="526"/>
    </row>
    <row r="606" spans="1:59" s="830" customFormat="1" ht="17.25" customHeight="1" x14ac:dyDescent="0.25">
      <c r="A606" s="865"/>
      <c r="B606" s="865"/>
      <c r="C606" s="908"/>
      <c r="G606" s="865"/>
      <c r="H606" s="874"/>
      <c r="I606" s="869"/>
      <c r="J606" s="869"/>
      <c r="K606" s="869"/>
      <c r="L606" s="869"/>
      <c r="M606" s="874"/>
      <c r="O606" s="874"/>
      <c r="P606" s="874"/>
      <c r="Q606" s="874"/>
      <c r="R606" s="874"/>
      <c r="S606" s="874"/>
      <c r="T606" s="874"/>
      <c r="W606" s="874"/>
      <c r="X606" s="874"/>
      <c r="Y606" s="874"/>
      <c r="Z606" s="874"/>
      <c r="AA606" s="874"/>
      <c r="AD606" s="526"/>
      <c r="AE606" s="526"/>
      <c r="AF606" s="526"/>
      <c r="AG606" s="526"/>
      <c r="AH606" s="526"/>
      <c r="AI606" s="526"/>
      <c r="AJ606" s="526"/>
      <c r="AK606" s="526"/>
      <c r="AL606" s="526"/>
      <c r="AM606" s="526"/>
      <c r="AN606" s="526"/>
      <c r="AO606" s="526"/>
      <c r="AP606" s="526"/>
      <c r="AQ606" s="526"/>
      <c r="AR606" s="526"/>
      <c r="AS606" s="526"/>
      <c r="AT606" s="526"/>
      <c r="AU606" s="526"/>
      <c r="AV606" s="526"/>
      <c r="AW606" s="526"/>
      <c r="AX606" s="526"/>
      <c r="AY606" s="526"/>
      <c r="AZ606" s="526"/>
      <c r="BA606" s="526"/>
      <c r="BB606" s="526"/>
      <c r="BC606" s="526"/>
      <c r="BD606" s="526"/>
      <c r="BE606" s="526"/>
      <c r="BF606" s="526"/>
      <c r="BG606" s="526"/>
    </row>
    <row r="607" spans="1:59" s="830" customFormat="1" ht="17.25" customHeight="1" x14ac:dyDescent="0.25">
      <c r="A607" s="865"/>
      <c r="B607" s="865"/>
      <c r="C607" s="908"/>
      <c r="G607" s="865"/>
      <c r="H607" s="874"/>
      <c r="I607" s="869"/>
      <c r="J607" s="869"/>
      <c r="K607" s="869"/>
      <c r="L607" s="869"/>
      <c r="M607" s="874"/>
      <c r="O607" s="874"/>
      <c r="P607" s="874"/>
      <c r="Q607" s="874"/>
      <c r="R607" s="874"/>
      <c r="S607" s="874"/>
      <c r="T607" s="874"/>
      <c r="W607" s="874"/>
      <c r="X607" s="874"/>
      <c r="Y607" s="874"/>
      <c r="Z607" s="874"/>
      <c r="AA607" s="874"/>
      <c r="AD607" s="526"/>
      <c r="AE607" s="526"/>
      <c r="AF607" s="526"/>
      <c r="AG607" s="526"/>
      <c r="AH607" s="526"/>
      <c r="AI607" s="526"/>
      <c r="AJ607" s="526"/>
      <c r="AK607" s="526"/>
      <c r="AL607" s="526"/>
      <c r="AM607" s="526"/>
      <c r="AN607" s="526"/>
      <c r="AO607" s="526"/>
      <c r="AP607" s="526"/>
      <c r="AQ607" s="526"/>
      <c r="AR607" s="526"/>
      <c r="AS607" s="526"/>
      <c r="AT607" s="526"/>
      <c r="AU607" s="526"/>
      <c r="AV607" s="526"/>
      <c r="AW607" s="526"/>
      <c r="AX607" s="526"/>
      <c r="AY607" s="526"/>
      <c r="AZ607" s="526"/>
      <c r="BA607" s="526"/>
      <c r="BB607" s="526"/>
      <c r="BC607" s="526"/>
      <c r="BD607" s="526"/>
      <c r="BE607" s="526"/>
      <c r="BF607" s="526"/>
      <c r="BG607" s="526"/>
    </row>
    <row r="608" spans="1:59" s="830" customFormat="1" ht="17.25" customHeight="1" x14ac:dyDescent="0.25">
      <c r="A608" s="865"/>
      <c r="B608" s="865"/>
      <c r="C608" s="908"/>
      <c r="G608" s="865"/>
      <c r="H608" s="874"/>
      <c r="I608" s="869"/>
      <c r="J608" s="869"/>
      <c r="K608" s="869"/>
      <c r="L608" s="869"/>
      <c r="M608" s="874"/>
      <c r="O608" s="874"/>
      <c r="P608" s="874"/>
      <c r="Q608" s="874"/>
      <c r="R608" s="874"/>
      <c r="S608" s="874"/>
      <c r="T608" s="874"/>
      <c r="W608" s="874"/>
      <c r="X608" s="874"/>
      <c r="Y608" s="874"/>
      <c r="Z608" s="874"/>
      <c r="AA608" s="874"/>
      <c r="AD608" s="526"/>
      <c r="AE608" s="526"/>
      <c r="AF608" s="526"/>
      <c r="AG608" s="526"/>
      <c r="AH608" s="526"/>
      <c r="AI608" s="526"/>
      <c r="AJ608" s="526"/>
      <c r="AK608" s="526"/>
      <c r="AL608" s="526"/>
      <c r="AM608" s="526"/>
      <c r="AN608" s="526"/>
      <c r="AO608" s="526"/>
      <c r="AP608" s="526"/>
      <c r="AQ608" s="526"/>
      <c r="AR608" s="526"/>
      <c r="AS608" s="526"/>
      <c r="AT608" s="526"/>
      <c r="AU608" s="526"/>
      <c r="AV608" s="526"/>
      <c r="AW608" s="526"/>
      <c r="AX608" s="526"/>
      <c r="AY608" s="526"/>
      <c r="AZ608" s="526"/>
      <c r="BA608" s="526"/>
      <c r="BB608" s="526"/>
      <c r="BC608" s="526"/>
      <c r="BD608" s="526"/>
      <c r="BE608" s="526"/>
      <c r="BF608" s="526"/>
      <c r="BG608" s="526"/>
    </row>
    <row r="609" spans="1:59" s="830" customFormat="1" ht="17.25" customHeight="1" x14ac:dyDescent="0.25">
      <c r="A609" s="865"/>
      <c r="B609" s="865"/>
      <c r="C609" s="908"/>
      <c r="G609" s="865"/>
      <c r="H609" s="874"/>
      <c r="I609" s="869"/>
      <c r="J609" s="869"/>
      <c r="K609" s="869"/>
      <c r="L609" s="869"/>
      <c r="M609" s="874"/>
      <c r="O609" s="874"/>
      <c r="P609" s="874"/>
      <c r="Q609" s="874"/>
      <c r="R609" s="874"/>
      <c r="S609" s="874"/>
      <c r="T609" s="874"/>
      <c r="W609" s="874"/>
      <c r="X609" s="874"/>
      <c r="Y609" s="874"/>
      <c r="Z609" s="874"/>
      <c r="AA609" s="874"/>
      <c r="AD609" s="526"/>
      <c r="AE609" s="526"/>
      <c r="AF609" s="526"/>
      <c r="AG609" s="526"/>
      <c r="AH609" s="526"/>
      <c r="AI609" s="526"/>
      <c r="AJ609" s="526"/>
      <c r="AK609" s="526"/>
      <c r="AL609" s="526"/>
      <c r="AM609" s="526"/>
      <c r="AN609" s="526"/>
      <c r="AO609" s="526"/>
      <c r="AP609" s="526"/>
      <c r="AQ609" s="526"/>
      <c r="AR609" s="526"/>
      <c r="AS609" s="526"/>
      <c r="AT609" s="526"/>
      <c r="AU609" s="526"/>
      <c r="AV609" s="526"/>
      <c r="AW609" s="526"/>
      <c r="AX609" s="526"/>
      <c r="AY609" s="526"/>
      <c r="AZ609" s="526"/>
      <c r="BA609" s="526"/>
      <c r="BB609" s="526"/>
      <c r="BC609" s="526"/>
      <c r="BD609" s="526"/>
      <c r="BE609" s="526"/>
      <c r="BF609" s="526"/>
      <c r="BG609" s="526"/>
    </row>
    <row r="610" spans="1:59" s="830" customFormat="1" ht="17.25" customHeight="1" x14ac:dyDescent="0.25">
      <c r="A610" s="865"/>
      <c r="B610" s="865"/>
      <c r="C610" s="908"/>
      <c r="G610" s="865"/>
      <c r="H610" s="874"/>
      <c r="I610" s="869"/>
      <c r="J610" s="869"/>
      <c r="K610" s="869"/>
      <c r="L610" s="869"/>
      <c r="M610" s="874"/>
      <c r="O610" s="874"/>
      <c r="P610" s="874"/>
      <c r="Q610" s="874"/>
      <c r="R610" s="874"/>
      <c r="S610" s="874"/>
      <c r="T610" s="874"/>
      <c r="W610" s="874"/>
      <c r="X610" s="874"/>
      <c r="Y610" s="874"/>
      <c r="Z610" s="874"/>
      <c r="AA610" s="874"/>
      <c r="AD610" s="526"/>
      <c r="AE610" s="526"/>
      <c r="AF610" s="526"/>
      <c r="AG610" s="526"/>
      <c r="AH610" s="526"/>
      <c r="AI610" s="526"/>
      <c r="AJ610" s="526"/>
      <c r="AK610" s="526"/>
      <c r="AL610" s="526"/>
      <c r="AM610" s="526"/>
      <c r="AN610" s="526"/>
      <c r="AO610" s="526"/>
      <c r="AP610" s="526"/>
      <c r="AQ610" s="526"/>
      <c r="AR610" s="526"/>
      <c r="AS610" s="526"/>
      <c r="AT610" s="526"/>
      <c r="AU610" s="526"/>
      <c r="AV610" s="526"/>
      <c r="AW610" s="526"/>
      <c r="AX610" s="526"/>
      <c r="AY610" s="526"/>
      <c r="AZ610" s="526"/>
      <c r="BA610" s="526"/>
      <c r="BB610" s="526"/>
      <c r="BC610" s="526"/>
      <c r="BD610" s="526"/>
      <c r="BE610" s="526"/>
      <c r="BF610" s="526"/>
      <c r="BG610" s="526"/>
    </row>
    <row r="611" spans="1:59" s="830" customFormat="1" ht="17.25" customHeight="1" x14ac:dyDescent="0.25">
      <c r="A611" s="865"/>
      <c r="B611" s="865"/>
      <c r="C611" s="908"/>
      <c r="G611" s="865"/>
      <c r="H611" s="874"/>
      <c r="I611" s="869"/>
      <c r="J611" s="869"/>
      <c r="K611" s="869"/>
      <c r="L611" s="869"/>
      <c r="M611" s="874"/>
      <c r="O611" s="874"/>
      <c r="P611" s="874"/>
      <c r="Q611" s="874"/>
      <c r="R611" s="874"/>
      <c r="S611" s="874"/>
      <c r="T611" s="874"/>
      <c r="W611" s="874"/>
      <c r="X611" s="874"/>
      <c r="Y611" s="874"/>
      <c r="Z611" s="874"/>
      <c r="AA611" s="874"/>
      <c r="AD611" s="526"/>
      <c r="AE611" s="526"/>
      <c r="AF611" s="526"/>
      <c r="AG611" s="526"/>
      <c r="AH611" s="526"/>
      <c r="AI611" s="526"/>
      <c r="AJ611" s="526"/>
      <c r="AK611" s="526"/>
      <c r="AL611" s="526"/>
      <c r="AM611" s="526"/>
      <c r="AN611" s="526"/>
      <c r="AO611" s="526"/>
      <c r="AP611" s="526"/>
      <c r="AQ611" s="526"/>
      <c r="AR611" s="526"/>
      <c r="AS611" s="526"/>
      <c r="AT611" s="526"/>
      <c r="AU611" s="526"/>
      <c r="AV611" s="526"/>
      <c r="AW611" s="526"/>
      <c r="AX611" s="526"/>
      <c r="AY611" s="526"/>
      <c r="AZ611" s="526"/>
      <c r="BA611" s="526"/>
      <c r="BB611" s="526"/>
      <c r="BC611" s="526"/>
      <c r="BD611" s="526"/>
      <c r="BE611" s="526"/>
      <c r="BF611" s="526"/>
      <c r="BG611" s="526"/>
    </row>
    <row r="612" spans="1:59" s="830" customFormat="1" ht="17.25" customHeight="1" x14ac:dyDescent="0.25">
      <c r="A612" s="865"/>
      <c r="B612" s="865"/>
      <c r="C612" s="908"/>
      <c r="G612" s="865"/>
      <c r="H612" s="874"/>
      <c r="I612" s="869"/>
      <c r="J612" s="869"/>
      <c r="K612" s="869"/>
      <c r="L612" s="869"/>
      <c r="M612" s="874"/>
      <c r="O612" s="874"/>
      <c r="P612" s="874"/>
      <c r="Q612" s="874"/>
      <c r="R612" s="874"/>
      <c r="S612" s="874"/>
      <c r="T612" s="874"/>
      <c r="W612" s="874"/>
      <c r="X612" s="874"/>
      <c r="Y612" s="874"/>
      <c r="Z612" s="874"/>
      <c r="AA612" s="874"/>
      <c r="AD612" s="526"/>
      <c r="AE612" s="526"/>
      <c r="AF612" s="526"/>
      <c r="AG612" s="526"/>
      <c r="AH612" s="526"/>
      <c r="AI612" s="526"/>
      <c r="AJ612" s="526"/>
      <c r="AK612" s="526"/>
      <c r="AL612" s="526"/>
      <c r="AM612" s="526"/>
      <c r="AN612" s="526"/>
      <c r="AO612" s="526"/>
      <c r="AP612" s="526"/>
      <c r="AQ612" s="526"/>
      <c r="AR612" s="526"/>
      <c r="AS612" s="526"/>
      <c r="AT612" s="526"/>
      <c r="AU612" s="526"/>
      <c r="AV612" s="526"/>
      <c r="AW612" s="526"/>
      <c r="AX612" s="526"/>
      <c r="AY612" s="526"/>
      <c r="AZ612" s="526"/>
      <c r="BA612" s="526"/>
      <c r="BB612" s="526"/>
      <c r="BC612" s="526"/>
      <c r="BD612" s="526"/>
      <c r="BE612" s="526"/>
      <c r="BF612" s="526"/>
      <c r="BG612" s="526"/>
    </row>
    <row r="613" spans="1:59" s="830" customFormat="1" ht="17.25" customHeight="1" x14ac:dyDescent="0.25">
      <c r="A613" s="865"/>
      <c r="B613" s="865"/>
      <c r="C613" s="908"/>
      <c r="G613" s="865"/>
      <c r="H613" s="874"/>
      <c r="I613" s="869"/>
      <c r="J613" s="869"/>
      <c r="K613" s="869"/>
      <c r="L613" s="869"/>
      <c r="M613" s="874"/>
      <c r="O613" s="874"/>
      <c r="P613" s="874"/>
      <c r="Q613" s="874"/>
      <c r="R613" s="874"/>
      <c r="S613" s="874"/>
      <c r="T613" s="874"/>
      <c r="W613" s="874"/>
      <c r="X613" s="874"/>
      <c r="Y613" s="874"/>
      <c r="Z613" s="874"/>
      <c r="AA613" s="874"/>
      <c r="AD613" s="526"/>
      <c r="AE613" s="526"/>
      <c r="AF613" s="526"/>
      <c r="AG613" s="526"/>
      <c r="AH613" s="526"/>
      <c r="AI613" s="526"/>
      <c r="AJ613" s="526"/>
      <c r="AK613" s="526"/>
      <c r="AL613" s="526"/>
      <c r="AM613" s="526"/>
      <c r="AN613" s="526"/>
      <c r="AO613" s="526"/>
      <c r="AP613" s="526"/>
      <c r="AQ613" s="526"/>
      <c r="AR613" s="526"/>
      <c r="AS613" s="526"/>
      <c r="AT613" s="526"/>
      <c r="AU613" s="526"/>
      <c r="AV613" s="526"/>
      <c r="AW613" s="526"/>
      <c r="AX613" s="526"/>
      <c r="AY613" s="526"/>
      <c r="AZ613" s="526"/>
      <c r="BA613" s="526"/>
      <c r="BB613" s="526"/>
      <c r="BC613" s="526"/>
      <c r="BD613" s="526"/>
      <c r="BE613" s="526"/>
      <c r="BF613" s="526"/>
      <c r="BG613" s="526"/>
    </row>
    <row r="614" spans="1:59" s="830" customFormat="1" ht="17.25" customHeight="1" x14ac:dyDescent="0.25">
      <c r="A614" s="865"/>
      <c r="B614" s="865"/>
      <c r="C614" s="908"/>
      <c r="G614" s="865"/>
      <c r="H614" s="874"/>
      <c r="I614" s="869"/>
      <c r="J614" s="869"/>
      <c r="K614" s="869"/>
      <c r="L614" s="869"/>
      <c r="M614" s="874"/>
      <c r="O614" s="874"/>
      <c r="P614" s="874"/>
      <c r="Q614" s="874"/>
      <c r="R614" s="874"/>
      <c r="S614" s="874"/>
      <c r="T614" s="874"/>
      <c r="W614" s="874"/>
      <c r="X614" s="874"/>
      <c r="Y614" s="874"/>
      <c r="Z614" s="874"/>
      <c r="AA614" s="874"/>
      <c r="AD614" s="526"/>
      <c r="AE614" s="526"/>
      <c r="AF614" s="526"/>
      <c r="AG614" s="526"/>
      <c r="AH614" s="526"/>
      <c r="AI614" s="526"/>
      <c r="AJ614" s="526"/>
      <c r="AK614" s="526"/>
      <c r="AL614" s="526"/>
      <c r="AM614" s="526"/>
      <c r="AN614" s="526"/>
      <c r="AO614" s="526"/>
      <c r="AP614" s="526"/>
      <c r="AQ614" s="526"/>
      <c r="AR614" s="526"/>
      <c r="AS614" s="526"/>
      <c r="AT614" s="526"/>
      <c r="AU614" s="526"/>
      <c r="AV614" s="526"/>
      <c r="AW614" s="526"/>
      <c r="AX614" s="526"/>
      <c r="AY614" s="526"/>
      <c r="AZ614" s="526"/>
      <c r="BA614" s="526"/>
      <c r="BB614" s="526"/>
      <c r="BC614" s="526"/>
      <c r="BD614" s="526"/>
      <c r="BE614" s="526"/>
      <c r="BF614" s="526"/>
      <c r="BG614" s="526"/>
    </row>
    <row r="615" spans="1:59" s="830" customFormat="1" ht="17.25" customHeight="1" x14ac:dyDescent="0.25">
      <c r="A615" s="865"/>
      <c r="B615" s="865"/>
      <c r="C615" s="908"/>
      <c r="G615" s="865"/>
      <c r="H615" s="874"/>
      <c r="I615" s="869"/>
      <c r="J615" s="869"/>
      <c r="K615" s="869"/>
      <c r="L615" s="869"/>
      <c r="M615" s="874"/>
      <c r="O615" s="874"/>
      <c r="P615" s="874"/>
      <c r="Q615" s="874"/>
      <c r="R615" s="874"/>
      <c r="S615" s="874"/>
      <c r="T615" s="874"/>
      <c r="W615" s="874"/>
      <c r="X615" s="874"/>
      <c r="Y615" s="874"/>
      <c r="Z615" s="874"/>
      <c r="AA615" s="874"/>
      <c r="AD615" s="526"/>
      <c r="AE615" s="526"/>
      <c r="AF615" s="526"/>
      <c r="AG615" s="526"/>
      <c r="AH615" s="526"/>
      <c r="AI615" s="526"/>
      <c r="AJ615" s="526"/>
      <c r="AK615" s="526"/>
      <c r="AL615" s="526"/>
      <c r="AM615" s="526"/>
      <c r="AN615" s="526"/>
      <c r="AO615" s="526"/>
      <c r="AP615" s="526"/>
      <c r="AQ615" s="526"/>
      <c r="AR615" s="526"/>
      <c r="AS615" s="526"/>
      <c r="AT615" s="526"/>
      <c r="AU615" s="526"/>
      <c r="AV615" s="526"/>
      <c r="AW615" s="526"/>
      <c r="AX615" s="526"/>
      <c r="AY615" s="526"/>
      <c r="AZ615" s="526"/>
      <c r="BA615" s="526"/>
      <c r="BB615" s="526"/>
      <c r="BC615" s="526"/>
      <c r="BD615" s="526"/>
      <c r="BE615" s="526"/>
      <c r="BF615" s="526"/>
      <c r="BG615" s="526"/>
    </row>
    <row r="616" spans="1:59" s="830" customFormat="1" ht="17.25" customHeight="1" x14ac:dyDescent="0.25">
      <c r="A616" s="865"/>
      <c r="B616" s="865"/>
      <c r="C616" s="908"/>
      <c r="G616" s="865"/>
      <c r="H616" s="874"/>
      <c r="I616" s="869"/>
      <c r="J616" s="869"/>
      <c r="K616" s="869"/>
      <c r="L616" s="869"/>
      <c r="M616" s="874"/>
      <c r="O616" s="874"/>
      <c r="P616" s="874"/>
      <c r="Q616" s="874"/>
      <c r="R616" s="874"/>
      <c r="S616" s="874"/>
      <c r="T616" s="874"/>
      <c r="W616" s="874"/>
      <c r="X616" s="874"/>
      <c r="Y616" s="874"/>
      <c r="Z616" s="874"/>
      <c r="AA616" s="874"/>
      <c r="AD616" s="526"/>
      <c r="AE616" s="526"/>
      <c r="AF616" s="526"/>
      <c r="AG616" s="526"/>
      <c r="AH616" s="526"/>
      <c r="AI616" s="526"/>
      <c r="AJ616" s="526"/>
      <c r="AK616" s="526"/>
      <c r="AL616" s="526"/>
      <c r="AM616" s="526"/>
      <c r="AN616" s="526"/>
      <c r="AO616" s="526"/>
      <c r="AP616" s="526"/>
      <c r="AQ616" s="526"/>
      <c r="AR616" s="526"/>
      <c r="AS616" s="526"/>
      <c r="AT616" s="526"/>
      <c r="AU616" s="526"/>
      <c r="AV616" s="526"/>
      <c r="AW616" s="526"/>
      <c r="AX616" s="526"/>
      <c r="AY616" s="526"/>
      <c r="AZ616" s="526"/>
      <c r="BA616" s="526"/>
      <c r="BB616" s="526"/>
      <c r="BC616" s="526"/>
      <c r="BD616" s="526"/>
      <c r="BE616" s="526"/>
      <c r="BF616" s="526"/>
      <c r="BG616" s="526"/>
    </row>
    <row r="617" spans="1:59" s="830" customFormat="1" ht="17.25" customHeight="1" x14ac:dyDescent="0.25">
      <c r="A617" s="865"/>
      <c r="B617" s="865"/>
      <c r="C617" s="908"/>
      <c r="G617" s="865"/>
      <c r="H617" s="874"/>
      <c r="I617" s="869"/>
      <c r="J617" s="869"/>
      <c r="K617" s="869"/>
      <c r="L617" s="869"/>
      <c r="M617" s="874"/>
      <c r="O617" s="874"/>
      <c r="P617" s="874"/>
      <c r="Q617" s="874"/>
      <c r="R617" s="874"/>
      <c r="S617" s="874"/>
      <c r="T617" s="874"/>
      <c r="W617" s="874"/>
      <c r="X617" s="874"/>
      <c r="Y617" s="874"/>
      <c r="Z617" s="874"/>
      <c r="AA617" s="874"/>
      <c r="AD617" s="526"/>
      <c r="AE617" s="526"/>
      <c r="AF617" s="526"/>
      <c r="AG617" s="526"/>
      <c r="AH617" s="526"/>
      <c r="AI617" s="526"/>
      <c r="AJ617" s="526"/>
      <c r="AK617" s="526"/>
      <c r="AL617" s="526"/>
      <c r="AM617" s="526"/>
      <c r="AN617" s="526"/>
      <c r="AO617" s="526"/>
      <c r="AP617" s="526"/>
      <c r="AQ617" s="526"/>
      <c r="AR617" s="526"/>
      <c r="AS617" s="526"/>
      <c r="AT617" s="526"/>
      <c r="AU617" s="526"/>
      <c r="AV617" s="526"/>
      <c r="AW617" s="526"/>
      <c r="AX617" s="526"/>
      <c r="AY617" s="526"/>
      <c r="AZ617" s="526"/>
      <c r="BA617" s="526"/>
      <c r="BB617" s="526"/>
      <c r="BC617" s="526"/>
      <c r="BD617" s="526"/>
      <c r="BE617" s="526"/>
      <c r="BF617" s="526"/>
      <c r="BG617" s="526"/>
    </row>
    <row r="618" spans="1:59" s="830" customFormat="1" ht="17.25" customHeight="1" x14ac:dyDescent="0.25">
      <c r="A618" s="865"/>
      <c r="B618" s="865"/>
      <c r="C618" s="908"/>
      <c r="G618" s="865"/>
      <c r="H618" s="874"/>
      <c r="I618" s="869"/>
      <c r="J618" s="869"/>
      <c r="K618" s="869"/>
      <c r="L618" s="869"/>
      <c r="M618" s="874"/>
      <c r="O618" s="874"/>
      <c r="P618" s="874"/>
      <c r="Q618" s="874"/>
      <c r="R618" s="874"/>
      <c r="S618" s="874"/>
      <c r="T618" s="874"/>
      <c r="W618" s="874"/>
      <c r="X618" s="874"/>
      <c r="Y618" s="874"/>
      <c r="Z618" s="874"/>
      <c r="AA618" s="874"/>
      <c r="AD618" s="526"/>
      <c r="AE618" s="526"/>
      <c r="AF618" s="526"/>
      <c r="AG618" s="526"/>
      <c r="AH618" s="526"/>
      <c r="AI618" s="526"/>
      <c r="AJ618" s="526"/>
      <c r="AK618" s="526"/>
      <c r="AL618" s="526"/>
      <c r="AM618" s="526"/>
      <c r="AN618" s="526"/>
      <c r="AO618" s="526"/>
      <c r="AP618" s="526"/>
      <c r="AQ618" s="526"/>
      <c r="AR618" s="526"/>
      <c r="AS618" s="526"/>
      <c r="AT618" s="526"/>
      <c r="AU618" s="526"/>
      <c r="AV618" s="526"/>
      <c r="AW618" s="526"/>
      <c r="AX618" s="526"/>
      <c r="AY618" s="526"/>
      <c r="AZ618" s="526"/>
      <c r="BA618" s="526"/>
      <c r="BB618" s="526"/>
      <c r="BC618" s="526"/>
      <c r="BD618" s="526"/>
      <c r="BE618" s="526"/>
      <c r="BF618" s="526"/>
      <c r="BG618" s="526"/>
    </row>
    <row r="619" spans="1:59" s="830" customFormat="1" ht="17.25" customHeight="1" x14ac:dyDescent="0.25">
      <c r="A619" s="865"/>
      <c r="B619" s="865"/>
      <c r="C619" s="908"/>
      <c r="G619" s="865"/>
      <c r="H619" s="874"/>
      <c r="I619" s="869"/>
      <c r="J619" s="869"/>
      <c r="K619" s="869"/>
      <c r="L619" s="869"/>
      <c r="M619" s="874"/>
      <c r="O619" s="874"/>
      <c r="P619" s="874"/>
      <c r="Q619" s="874"/>
      <c r="R619" s="874"/>
      <c r="S619" s="874"/>
      <c r="T619" s="874"/>
      <c r="W619" s="874"/>
      <c r="X619" s="874"/>
      <c r="Y619" s="874"/>
      <c r="Z619" s="874"/>
      <c r="AA619" s="874"/>
      <c r="AD619" s="526"/>
      <c r="AE619" s="526"/>
      <c r="AF619" s="526"/>
      <c r="AG619" s="526"/>
      <c r="AH619" s="526"/>
      <c r="AI619" s="526"/>
      <c r="AJ619" s="526"/>
      <c r="AK619" s="526"/>
      <c r="AL619" s="526"/>
      <c r="AM619" s="526"/>
      <c r="AN619" s="526"/>
      <c r="AO619" s="526"/>
      <c r="AP619" s="526"/>
      <c r="AQ619" s="526"/>
      <c r="AR619" s="526"/>
      <c r="AS619" s="526"/>
      <c r="AT619" s="526"/>
      <c r="AU619" s="526"/>
      <c r="AV619" s="526"/>
      <c r="AW619" s="526"/>
      <c r="AX619" s="526"/>
      <c r="AY619" s="526"/>
      <c r="AZ619" s="526"/>
      <c r="BA619" s="526"/>
      <c r="BB619" s="526"/>
      <c r="BC619" s="526"/>
      <c r="BD619" s="526"/>
      <c r="BE619" s="526"/>
      <c r="BF619" s="526"/>
      <c r="BG619" s="526"/>
    </row>
    <row r="620" spans="1:59" s="830" customFormat="1" ht="17.25" customHeight="1" x14ac:dyDescent="0.25">
      <c r="A620" s="865"/>
      <c r="B620" s="865"/>
      <c r="C620" s="908"/>
      <c r="G620" s="865"/>
      <c r="H620" s="874"/>
      <c r="I620" s="869"/>
      <c r="J620" s="869"/>
      <c r="K620" s="869"/>
      <c r="L620" s="869"/>
      <c r="M620" s="874"/>
      <c r="O620" s="874"/>
      <c r="P620" s="874"/>
      <c r="Q620" s="874"/>
      <c r="R620" s="874"/>
      <c r="S620" s="874"/>
      <c r="T620" s="874"/>
      <c r="W620" s="874"/>
      <c r="X620" s="874"/>
      <c r="Y620" s="874"/>
      <c r="Z620" s="874"/>
      <c r="AA620" s="874"/>
      <c r="AD620" s="526"/>
      <c r="AE620" s="526"/>
      <c r="AF620" s="526"/>
      <c r="AG620" s="526"/>
      <c r="AH620" s="526"/>
      <c r="AI620" s="526"/>
      <c r="AJ620" s="526"/>
      <c r="AK620" s="526"/>
      <c r="AL620" s="526"/>
      <c r="AM620" s="526"/>
      <c r="AN620" s="526"/>
      <c r="AO620" s="526"/>
      <c r="AP620" s="526"/>
      <c r="AQ620" s="526"/>
      <c r="AR620" s="526"/>
      <c r="AS620" s="526"/>
      <c r="AT620" s="526"/>
      <c r="AU620" s="526"/>
      <c r="AV620" s="526"/>
      <c r="AW620" s="526"/>
      <c r="AX620" s="526"/>
      <c r="AY620" s="526"/>
      <c r="AZ620" s="526"/>
      <c r="BA620" s="526"/>
      <c r="BB620" s="526"/>
      <c r="BC620" s="526"/>
      <c r="BD620" s="526"/>
      <c r="BE620" s="526"/>
      <c r="BF620" s="526"/>
      <c r="BG620" s="526"/>
    </row>
    <row r="621" spans="1:59" s="830" customFormat="1" ht="17.25" customHeight="1" x14ac:dyDescent="0.25">
      <c r="A621" s="865"/>
      <c r="B621" s="865"/>
      <c r="C621" s="908"/>
      <c r="G621" s="865"/>
      <c r="H621" s="874"/>
      <c r="I621" s="869"/>
      <c r="J621" s="869"/>
      <c r="K621" s="869"/>
      <c r="L621" s="869"/>
      <c r="M621" s="874"/>
      <c r="O621" s="874"/>
      <c r="P621" s="874"/>
      <c r="Q621" s="874"/>
      <c r="R621" s="874"/>
      <c r="S621" s="874"/>
      <c r="T621" s="874"/>
      <c r="W621" s="874"/>
      <c r="X621" s="874"/>
      <c r="Y621" s="874"/>
      <c r="Z621" s="874"/>
      <c r="AA621" s="874"/>
      <c r="AD621" s="526"/>
      <c r="AE621" s="526"/>
      <c r="AF621" s="526"/>
      <c r="AG621" s="526"/>
      <c r="AH621" s="526"/>
      <c r="AI621" s="526"/>
      <c r="AJ621" s="526"/>
      <c r="AK621" s="526"/>
      <c r="AL621" s="526"/>
      <c r="AM621" s="526"/>
      <c r="AN621" s="526"/>
      <c r="AO621" s="526"/>
      <c r="AP621" s="526"/>
      <c r="AQ621" s="526"/>
      <c r="AR621" s="526"/>
      <c r="AS621" s="526"/>
      <c r="AT621" s="526"/>
      <c r="AU621" s="526"/>
      <c r="AV621" s="526"/>
      <c r="AW621" s="526"/>
      <c r="AX621" s="526"/>
      <c r="AY621" s="526"/>
      <c r="AZ621" s="526"/>
      <c r="BA621" s="526"/>
      <c r="BB621" s="526"/>
      <c r="BC621" s="526"/>
      <c r="BD621" s="526"/>
      <c r="BE621" s="526"/>
      <c r="BF621" s="526"/>
      <c r="BG621" s="526"/>
    </row>
    <row r="622" spans="1:59" s="830" customFormat="1" ht="17.25" customHeight="1" x14ac:dyDescent="0.25">
      <c r="A622" s="865"/>
      <c r="B622" s="865"/>
      <c r="C622" s="908"/>
      <c r="G622" s="865"/>
      <c r="H622" s="874"/>
      <c r="I622" s="869"/>
      <c r="J622" s="869"/>
      <c r="K622" s="869"/>
      <c r="L622" s="869"/>
      <c r="M622" s="874"/>
      <c r="O622" s="874"/>
      <c r="P622" s="874"/>
      <c r="Q622" s="874"/>
      <c r="R622" s="874"/>
      <c r="S622" s="874"/>
      <c r="T622" s="874"/>
      <c r="W622" s="874"/>
      <c r="X622" s="874"/>
      <c r="Y622" s="874"/>
      <c r="Z622" s="874"/>
      <c r="AA622" s="874"/>
      <c r="AD622" s="526"/>
      <c r="AE622" s="526"/>
      <c r="AF622" s="526"/>
      <c r="AG622" s="526"/>
      <c r="AH622" s="526"/>
      <c r="AI622" s="526"/>
      <c r="AJ622" s="526"/>
      <c r="AK622" s="526"/>
      <c r="AL622" s="526"/>
      <c r="AM622" s="526"/>
      <c r="AN622" s="526"/>
      <c r="AO622" s="526"/>
      <c r="AP622" s="526"/>
      <c r="AQ622" s="526"/>
      <c r="AR622" s="526"/>
      <c r="AS622" s="526"/>
      <c r="AT622" s="526"/>
      <c r="AU622" s="526"/>
      <c r="AV622" s="526"/>
      <c r="AW622" s="526"/>
      <c r="AX622" s="526"/>
      <c r="AY622" s="526"/>
      <c r="AZ622" s="526"/>
      <c r="BA622" s="526"/>
      <c r="BB622" s="526"/>
      <c r="BC622" s="526"/>
      <c r="BD622" s="526"/>
      <c r="BE622" s="526"/>
      <c r="BF622" s="526"/>
      <c r="BG622" s="526"/>
    </row>
    <row r="623" spans="1:59" s="830" customFormat="1" ht="17.25" customHeight="1" x14ac:dyDescent="0.25">
      <c r="A623" s="865"/>
      <c r="B623" s="865"/>
      <c r="C623" s="908"/>
      <c r="G623" s="865"/>
      <c r="H623" s="874"/>
      <c r="I623" s="869"/>
      <c r="J623" s="869"/>
      <c r="K623" s="869"/>
      <c r="L623" s="869"/>
      <c r="M623" s="874"/>
      <c r="O623" s="874"/>
      <c r="P623" s="874"/>
      <c r="Q623" s="874"/>
      <c r="R623" s="874"/>
      <c r="S623" s="874"/>
      <c r="T623" s="874"/>
      <c r="W623" s="874"/>
      <c r="X623" s="874"/>
      <c r="Y623" s="874"/>
      <c r="Z623" s="874"/>
      <c r="AA623" s="874"/>
      <c r="AD623" s="526"/>
      <c r="AE623" s="526"/>
      <c r="AF623" s="526"/>
      <c r="AG623" s="526"/>
      <c r="AH623" s="526"/>
      <c r="AI623" s="526"/>
      <c r="AJ623" s="526"/>
      <c r="AK623" s="526"/>
      <c r="AL623" s="526"/>
      <c r="AM623" s="526"/>
      <c r="AN623" s="526"/>
      <c r="AO623" s="526"/>
      <c r="AP623" s="526"/>
      <c r="AQ623" s="526"/>
      <c r="AR623" s="526"/>
      <c r="AS623" s="526"/>
      <c r="AT623" s="526"/>
      <c r="AU623" s="526"/>
      <c r="AV623" s="526"/>
      <c r="AW623" s="526"/>
      <c r="AX623" s="526"/>
      <c r="AY623" s="526"/>
      <c r="AZ623" s="526"/>
      <c r="BA623" s="526"/>
      <c r="BB623" s="526"/>
      <c r="BC623" s="526"/>
      <c r="BD623" s="526"/>
      <c r="BE623" s="526"/>
      <c r="BF623" s="526"/>
      <c r="BG623" s="526"/>
    </row>
    <row r="624" spans="1:59" s="830" customFormat="1" ht="17.25" customHeight="1" x14ac:dyDescent="0.25">
      <c r="A624" s="865"/>
      <c r="B624" s="865"/>
      <c r="C624" s="908"/>
      <c r="G624" s="865"/>
      <c r="H624" s="874"/>
      <c r="I624" s="869"/>
      <c r="J624" s="869"/>
      <c r="K624" s="869"/>
      <c r="L624" s="869"/>
      <c r="M624" s="874"/>
      <c r="O624" s="874"/>
      <c r="P624" s="874"/>
      <c r="Q624" s="874"/>
      <c r="R624" s="874"/>
      <c r="S624" s="874"/>
      <c r="T624" s="874"/>
      <c r="W624" s="874"/>
      <c r="X624" s="874"/>
      <c r="Y624" s="874"/>
      <c r="Z624" s="874"/>
      <c r="AA624" s="874"/>
      <c r="AD624" s="526"/>
      <c r="AE624" s="526"/>
      <c r="AF624" s="526"/>
      <c r="AG624" s="526"/>
      <c r="AH624" s="526"/>
      <c r="AI624" s="526"/>
      <c r="AJ624" s="526"/>
      <c r="AK624" s="526"/>
      <c r="AL624" s="526"/>
      <c r="AM624" s="526"/>
      <c r="AN624" s="526"/>
      <c r="AO624" s="526"/>
      <c r="AP624" s="526"/>
      <c r="AQ624" s="526"/>
      <c r="AR624" s="526"/>
      <c r="AS624" s="526"/>
      <c r="AT624" s="526"/>
      <c r="AU624" s="526"/>
      <c r="AV624" s="526"/>
      <c r="AW624" s="526"/>
      <c r="AX624" s="526"/>
      <c r="AY624" s="526"/>
      <c r="AZ624" s="526"/>
      <c r="BA624" s="526"/>
      <c r="BB624" s="526"/>
      <c r="BC624" s="526"/>
      <c r="BD624" s="526"/>
      <c r="BE624" s="526"/>
      <c r="BF624" s="526"/>
      <c r="BG624" s="526"/>
    </row>
    <row r="625" spans="1:59" s="830" customFormat="1" ht="17.25" customHeight="1" x14ac:dyDescent="0.25">
      <c r="A625" s="865"/>
      <c r="B625" s="865"/>
      <c r="C625" s="908"/>
      <c r="G625" s="865"/>
      <c r="H625" s="874"/>
      <c r="I625" s="869"/>
      <c r="J625" s="869"/>
      <c r="K625" s="869"/>
      <c r="L625" s="869"/>
      <c r="M625" s="874"/>
      <c r="O625" s="874"/>
      <c r="P625" s="874"/>
      <c r="Q625" s="874"/>
      <c r="R625" s="874"/>
      <c r="S625" s="874"/>
      <c r="T625" s="874"/>
      <c r="W625" s="874"/>
      <c r="X625" s="874"/>
      <c r="Y625" s="874"/>
      <c r="Z625" s="874"/>
      <c r="AA625" s="874"/>
      <c r="AD625" s="526"/>
      <c r="AE625" s="526"/>
      <c r="AF625" s="526"/>
      <c r="AG625" s="526"/>
      <c r="AH625" s="526"/>
      <c r="AI625" s="526"/>
      <c r="AJ625" s="526"/>
      <c r="AK625" s="526"/>
      <c r="AL625" s="526"/>
      <c r="AM625" s="526"/>
      <c r="AN625" s="526"/>
      <c r="AO625" s="526"/>
      <c r="AP625" s="526"/>
      <c r="AQ625" s="526"/>
      <c r="AR625" s="526"/>
      <c r="AS625" s="526"/>
      <c r="AT625" s="526"/>
      <c r="AU625" s="526"/>
      <c r="AV625" s="526"/>
      <c r="AW625" s="526"/>
      <c r="AX625" s="526"/>
      <c r="AY625" s="526"/>
      <c r="AZ625" s="526"/>
      <c r="BA625" s="526"/>
      <c r="BB625" s="526"/>
      <c r="BC625" s="526"/>
      <c r="BD625" s="526"/>
      <c r="BE625" s="526"/>
      <c r="BF625" s="526"/>
      <c r="BG625" s="526"/>
    </row>
    <row r="626" spans="1:59" s="830" customFormat="1" ht="17.25" customHeight="1" x14ac:dyDescent="0.25">
      <c r="A626" s="865"/>
      <c r="B626" s="865"/>
      <c r="C626" s="908"/>
      <c r="G626" s="865"/>
      <c r="H626" s="874"/>
      <c r="I626" s="869"/>
      <c r="J626" s="869"/>
      <c r="K626" s="869"/>
      <c r="L626" s="869"/>
      <c r="M626" s="874"/>
      <c r="O626" s="874"/>
      <c r="P626" s="874"/>
      <c r="Q626" s="874"/>
      <c r="R626" s="874"/>
      <c r="S626" s="874"/>
      <c r="T626" s="874"/>
      <c r="W626" s="874"/>
      <c r="X626" s="874"/>
      <c r="Y626" s="874"/>
      <c r="Z626" s="874"/>
      <c r="AA626" s="874"/>
      <c r="AD626" s="526"/>
      <c r="AE626" s="526"/>
      <c r="AF626" s="526"/>
      <c r="AG626" s="526"/>
      <c r="AH626" s="526"/>
      <c r="AI626" s="526"/>
      <c r="AJ626" s="526"/>
      <c r="AK626" s="526"/>
      <c r="AL626" s="526"/>
      <c r="AM626" s="526"/>
      <c r="AN626" s="526"/>
      <c r="AO626" s="526"/>
      <c r="AP626" s="526"/>
      <c r="AQ626" s="526"/>
      <c r="AR626" s="526"/>
      <c r="AS626" s="526"/>
      <c r="AT626" s="526"/>
      <c r="AU626" s="526"/>
      <c r="AV626" s="526"/>
      <c r="AW626" s="526"/>
      <c r="AX626" s="526"/>
      <c r="AY626" s="526"/>
      <c r="AZ626" s="526"/>
      <c r="BA626" s="526"/>
      <c r="BB626" s="526"/>
      <c r="BC626" s="526"/>
      <c r="BD626" s="526"/>
      <c r="BE626" s="526"/>
      <c r="BF626" s="526"/>
      <c r="BG626" s="526"/>
    </row>
    <row r="627" spans="1:59" s="830" customFormat="1" ht="17.25" customHeight="1" x14ac:dyDescent="0.25">
      <c r="A627" s="865"/>
      <c r="B627" s="865"/>
      <c r="C627" s="908"/>
      <c r="G627" s="865"/>
      <c r="H627" s="874"/>
      <c r="I627" s="869"/>
      <c r="J627" s="869"/>
      <c r="K627" s="869"/>
      <c r="L627" s="869"/>
      <c r="M627" s="874"/>
      <c r="O627" s="874"/>
      <c r="P627" s="874"/>
      <c r="Q627" s="874"/>
      <c r="R627" s="874"/>
      <c r="S627" s="874"/>
      <c r="T627" s="874"/>
      <c r="W627" s="874"/>
      <c r="X627" s="874"/>
      <c r="Y627" s="874"/>
      <c r="Z627" s="874"/>
      <c r="AA627" s="874"/>
      <c r="AD627" s="526"/>
      <c r="AE627" s="526"/>
      <c r="AF627" s="526"/>
      <c r="AG627" s="526"/>
      <c r="AH627" s="526"/>
      <c r="AI627" s="526"/>
      <c r="AJ627" s="526"/>
      <c r="AK627" s="526"/>
      <c r="AL627" s="526"/>
      <c r="AM627" s="526"/>
      <c r="AN627" s="526"/>
      <c r="AO627" s="526"/>
      <c r="AP627" s="526"/>
      <c r="AQ627" s="526"/>
      <c r="AR627" s="526"/>
      <c r="AS627" s="526"/>
      <c r="AT627" s="526"/>
      <c r="AU627" s="526"/>
      <c r="AV627" s="526"/>
      <c r="AW627" s="526"/>
      <c r="AX627" s="526"/>
      <c r="AY627" s="526"/>
      <c r="AZ627" s="526"/>
      <c r="BA627" s="526"/>
      <c r="BB627" s="526"/>
      <c r="BC627" s="526"/>
      <c r="BD627" s="526"/>
      <c r="BE627" s="526"/>
      <c r="BF627" s="526"/>
      <c r="BG627" s="526"/>
    </row>
    <row r="628" spans="1:59" s="830" customFormat="1" ht="17.25" customHeight="1" x14ac:dyDescent="0.25">
      <c r="A628" s="865"/>
      <c r="B628" s="865"/>
      <c r="C628" s="908"/>
      <c r="G628" s="865"/>
      <c r="H628" s="874"/>
      <c r="I628" s="869"/>
      <c r="J628" s="869"/>
      <c r="K628" s="869"/>
      <c r="L628" s="869"/>
      <c r="M628" s="874"/>
      <c r="O628" s="874"/>
      <c r="P628" s="874"/>
      <c r="Q628" s="874"/>
      <c r="R628" s="874"/>
      <c r="S628" s="874"/>
      <c r="T628" s="874"/>
      <c r="W628" s="874"/>
      <c r="X628" s="874"/>
      <c r="Y628" s="874"/>
      <c r="Z628" s="874"/>
      <c r="AA628" s="874"/>
      <c r="AD628" s="526"/>
      <c r="AE628" s="526"/>
      <c r="AF628" s="526"/>
      <c r="AG628" s="526"/>
      <c r="AH628" s="526"/>
      <c r="AI628" s="526"/>
      <c r="AJ628" s="526"/>
      <c r="AK628" s="526"/>
      <c r="AL628" s="526"/>
      <c r="AM628" s="526"/>
      <c r="AN628" s="526"/>
      <c r="AO628" s="526"/>
      <c r="AP628" s="526"/>
      <c r="AQ628" s="526"/>
      <c r="AR628" s="526"/>
      <c r="AS628" s="526"/>
      <c r="AT628" s="526"/>
      <c r="AU628" s="526"/>
      <c r="AV628" s="526"/>
      <c r="AW628" s="526"/>
      <c r="AX628" s="526"/>
      <c r="AY628" s="526"/>
      <c r="AZ628" s="526"/>
      <c r="BA628" s="526"/>
      <c r="BB628" s="526"/>
      <c r="BC628" s="526"/>
      <c r="BD628" s="526"/>
      <c r="BE628" s="526"/>
      <c r="BF628" s="526"/>
      <c r="BG628" s="526"/>
    </row>
    <row r="629" spans="1:59" s="830" customFormat="1" ht="17.25" customHeight="1" x14ac:dyDescent="0.25">
      <c r="A629" s="865"/>
      <c r="B629" s="865"/>
      <c r="C629" s="908"/>
      <c r="G629" s="865"/>
      <c r="H629" s="874"/>
      <c r="I629" s="869"/>
      <c r="J629" s="869"/>
      <c r="K629" s="869"/>
      <c r="L629" s="869"/>
      <c r="M629" s="874"/>
      <c r="O629" s="874"/>
      <c r="P629" s="874"/>
      <c r="Q629" s="874"/>
      <c r="R629" s="874"/>
      <c r="S629" s="874"/>
      <c r="T629" s="874"/>
      <c r="W629" s="874"/>
      <c r="X629" s="874"/>
      <c r="Y629" s="874"/>
      <c r="Z629" s="874"/>
      <c r="AA629" s="874"/>
      <c r="AD629" s="526"/>
      <c r="AE629" s="526"/>
      <c r="AF629" s="526"/>
      <c r="AG629" s="526"/>
      <c r="AH629" s="526"/>
      <c r="AI629" s="526"/>
      <c r="AJ629" s="526"/>
      <c r="AK629" s="526"/>
      <c r="AL629" s="526"/>
      <c r="AM629" s="526"/>
      <c r="AN629" s="526"/>
      <c r="AO629" s="526"/>
      <c r="AP629" s="526"/>
      <c r="AQ629" s="526"/>
      <c r="AR629" s="526"/>
      <c r="AS629" s="526"/>
      <c r="AT629" s="526"/>
      <c r="AU629" s="526"/>
      <c r="AV629" s="526"/>
      <c r="AW629" s="526"/>
      <c r="AX629" s="526"/>
      <c r="AY629" s="526"/>
      <c r="AZ629" s="526"/>
      <c r="BA629" s="526"/>
      <c r="BB629" s="526"/>
      <c r="BC629" s="526"/>
      <c r="BD629" s="526"/>
      <c r="BE629" s="526"/>
      <c r="BF629" s="526"/>
      <c r="BG629" s="526"/>
    </row>
    <row r="630" spans="1:59" s="830" customFormat="1" ht="17.25" customHeight="1" x14ac:dyDescent="0.25">
      <c r="A630" s="865"/>
      <c r="B630" s="865"/>
      <c r="C630" s="908"/>
      <c r="G630" s="865"/>
      <c r="H630" s="874"/>
      <c r="I630" s="869"/>
      <c r="J630" s="869"/>
      <c r="K630" s="869"/>
      <c r="L630" s="869"/>
      <c r="M630" s="874"/>
      <c r="O630" s="874"/>
      <c r="P630" s="874"/>
      <c r="Q630" s="874"/>
      <c r="R630" s="874"/>
      <c r="S630" s="874"/>
      <c r="T630" s="874"/>
      <c r="W630" s="874"/>
      <c r="X630" s="874"/>
      <c r="Y630" s="874"/>
      <c r="Z630" s="874"/>
      <c r="AA630" s="874"/>
      <c r="AD630" s="526"/>
      <c r="AE630" s="526"/>
      <c r="AF630" s="526"/>
      <c r="AG630" s="526"/>
      <c r="AH630" s="526"/>
      <c r="AI630" s="526"/>
      <c r="AJ630" s="526"/>
      <c r="AK630" s="526"/>
      <c r="AL630" s="526"/>
      <c r="AM630" s="526"/>
      <c r="AN630" s="526"/>
      <c r="AO630" s="526"/>
      <c r="AP630" s="526"/>
      <c r="AQ630" s="526"/>
      <c r="AR630" s="526"/>
      <c r="AS630" s="526"/>
      <c r="AT630" s="526"/>
      <c r="AU630" s="526"/>
      <c r="AV630" s="526"/>
      <c r="AW630" s="526"/>
      <c r="AX630" s="526"/>
      <c r="AY630" s="526"/>
      <c r="AZ630" s="526"/>
      <c r="BA630" s="526"/>
      <c r="BB630" s="526"/>
      <c r="BC630" s="526"/>
      <c r="BD630" s="526"/>
      <c r="BE630" s="526"/>
      <c r="BF630" s="526"/>
      <c r="BG630" s="526"/>
    </row>
    <row r="631" spans="1:59" s="830" customFormat="1" ht="17.25" customHeight="1" x14ac:dyDescent="0.25">
      <c r="A631" s="865"/>
      <c r="B631" s="865"/>
      <c r="C631" s="908"/>
      <c r="G631" s="865"/>
      <c r="H631" s="874"/>
      <c r="I631" s="869"/>
      <c r="J631" s="869"/>
      <c r="K631" s="869"/>
      <c r="L631" s="869"/>
      <c r="M631" s="874"/>
      <c r="O631" s="874"/>
      <c r="P631" s="874"/>
      <c r="Q631" s="874"/>
      <c r="R631" s="874"/>
      <c r="S631" s="874"/>
      <c r="T631" s="874"/>
      <c r="W631" s="874"/>
      <c r="X631" s="874"/>
      <c r="Y631" s="874"/>
      <c r="Z631" s="874"/>
      <c r="AA631" s="874"/>
      <c r="AD631" s="526"/>
      <c r="AE631" s="526"/>
      <c r="AF631" s="526"/>
      <c r="AG631" s="526"/>
      <c r="AH631" s="526"/>
      <c r="AI631" s="526"/>
      <c r="AJ631" s="526"/>
      <c r="AK631" s="526"/>
      <c r="AL631" s="526"/>
      <c r="AM631" s="526"/>
      <c r="AN631" s="526"/>
      <c r="AO631" s="526"/>
      <c r="AP631" s="526"/>
      <c r="AQ631" s="526"/>
      <c r="AR631" s="526"/>
      <c r="AS631" s="526"/>
      <c r="AT631" s="526"/>
      <c r="AU631" s="526"/>
      <c r="AV631" s="526"/>
      <c r="AW631" s="526"/>
      <c r="AX631" s="526"/>
      <c r="AY631" s="526"/>
      <c r="AZ631" s="526"/>
      <c r="BA631" s="526"/>
      <c r="BB631" s="526"/>
      <c r="BC631" s="526"/>
      <c r="BD631" s="526"/>
      <c r="BE631" s="526"/>
      <c r="BF631" s="526"/>
      <c r="BG631" s="526"/>
    </row>
    <row r="632" spans="1:59" s="830" customFormat="1" ht="17.25" customHeight="1" x14ac:dyDescent="0.25">
      <c r="A632" s="865"/>
      <c r="B632" s="865"/>
      <c r="C632" s="908"/>
      <c r="G632" s="865"/>
      <c r="H632" s="874"/>
      <c r="I632" s="869"/>
      <c r="J632" s="869"/>
      <c r="K632" s="869"/>
      <c r="L632" s="869"/>
      <c r="M632" s="874"/>
      <c r="O632" s="874"/>
      <c r="P632" s="874"/>
      <c r="Q632" s="874"/>
      <c r="R632" s="874"/>
      <c r="S632" s="874"/>
      <c r="T632" s="874"/>
      <c r="W632" s="874"/>
      <c r="X632" s="874"/>
      <c r="Y632" s="874"/>
      <c r="Z632" s="874"/>
      <c r="AA632" s="874"/>
      <c r="AD632" s="526"/>
      <c r="AE632" s="526"/>
      <c r="AF632" s="526"/>
      <c r="AG632" s="526"/>
      <c r="AH632" s="526"/>
      <c r="AI632" s="526"/>
      <c r="AJ632" s="526"/>
      <c r="AK632" s="526"/>
      <c r="AL632" s="526"/>
      <c r="AM632" s="526"/>
      <c r="AN632" s="526"/>
      <c r="AO632" s="526"/>
      <c r="AP632" s="526"/>
      <c r="AQ632" s="526"/>
      <c r="AR632" s="526"/>
      <c r="AS632" s="526"/>
      <c r="AT632" s="526"/>
      <c r="AU632" s="526"/>
      <c r="AV632" s="526"/>
      <c r="AW632" s="526"/>
      <c r="AX632" s="526"/>
      <c r="AY632" s="526"/>
      <c r="AZ632" s="526"/>
      <c r="BA632" s="526"/>
      <c r="BB632" s="526"/>
      <c r="BC632" s="526"/>
      <c r="BD632" s="526"/>
      <c r="BE632" s="526"/>
      <c r="BF632" s="526"/>
      <c r="BG632" s="526"/>
    </row>
    <row r="633" spans="1:59" s="830" customFormat="1" ht="17.25" customHeight="1" x14ac:dyDescent="0.25">
      <c r="A633" s="865"/>
      <c r="B633" s="865"/>
      <c r="C633" s="908"/>
      <c r="G633" s="865"/>
      <c r="H633" s="874"/>
      <c r="I633" s="869"/>
      <c r="J633" s="869"/>
      <c r="K633" s="869"/>
      <c r="L633" s="869"/>
      <c r="M633" s="874"/>
      <c r="O633" s="874"/>
      <c r="P633" s="874"/>
      <c r="Q633" s="874"/>
      <c r="R633" s="874"/>
      <c r="S633" s="874"/>
      <c r="T633" s="874"/>
      <c r="W633" s="874"/>
      <c r="X633" s="874"/>
      <c r="Y633" s="874"/>
      <c r="Z633" s="874"/>
      <c r="AA633" s="874"/>
      <c r="AD633" s="526"/>
      <c r="AE633" s="526"/>
      <c r="AF633" s="526"/>
      <c r="AG633" s="526"/>
      <c r="AH633" s="526"/>
      <c r="AI633" s="526"/>
      <c r="AJ633" s="526"/>
      <c r="AK633" s="526"/>
      <c r="AL633" s="526"/>
      <c r="AM633" s="526"/>
      <c r="AN633" s="526"/>
      <c r="AO633" s="526"/>
      <c r="AP633" s="526"/>
      <c r="AQ633" s="526"/>
      <c r="AR633" s="526"/>
      <c r="AS633" s="526"/>
      <c r="AT633" s="526"/>
      <c r="AU633" s="526"/>
      <c r="AV633" s="526"/>
      <c r="AW633" s="526"/>
      <c r="AX633" s="526"/>
      <c r="AY633" s="526"/>
      <c r="AZ633" s="526"/>
      <c r="BA633" s="526"/>
      <c r="BB633" s="526"/>
      <c r="BC633" s="526"/>
      <c r="BD633" s="526"/>
      <c r="BE633" s="526"/>
      <c r="BF633" s="526"/>
      <c r="BG633" s="526"/>
    </row>
    <row r="634" spans="1:59" s="830" customFormat="1" ht="17.25" customHeight="1" x14ac:dyDescent="0.25">
      <c r="A634" s="865"/>
      <c r="B634" s="865"/>
      <c r="C634" s="908"/>
      <c r="G634" s="865"/>
      <c r="H634" s="874"/>
      <c r="I634" s="869"/>
      <c r="J634" s="869"/>
      <c r="K634" s="869"/>
      <c r="L634" s="869"/>
      <c r="M634" s="874"/>
      <c r="O634" s="874"/>
      <c r="P634" s="874"/>
      <c r="Q634" s="874"/>
      <c r="R634" s="874"/>
      <c r="S634" s="874"/>
      <c r="T634" s="874"/>
      <c r="W634" s="874"/>
      <c r="X634" s="874"/>
      <c r="Y634" s="874"/>
      <c r="Z634" s="874"/>
      <c r="AA634" s="874"/>
      <c r="AD634" s="526"/>
      <c r="AE634" s="526"/>
      <c r="AF634" s="526"/>
      <c r="AG634" s="526"/>
      <c r="AH634" s="526"/>
      <c r="AI634" s="526"/>
      <c r="AJ634" s="526"/>
      <c r="AK634" s="526"/>
      <c r="AL634" s="526"/>
      <c r="AM634" s="526"/>
      <c r="AN634" s="526"/>
      <c r="AO634" s="526"/>
      <c r="AP634" s="526"/>
      <c r="AQ634" s="526"/>
      <c r="AR634" s="526"/>
      <c r="AS634" s="526"/>
      <c r="AT634" s="526"/>
      <c r="AU634" s="526"/>
      <c r="AV634" s="526"/>
      <c r="AW634" s="526"/>
      <c r="AX634" s="526"/>
      <c r="AY634" s="526"/>
      <c r="AZ634" s="526"/>
      <c r="BA634" s="526"/>
      <c r="BB634" s="526"/>
      <c r="BC634" s="526"/>
      <c r="BD634" s="526"/>
      <c r="BE634" s="526"/>
      <c r="BF634" s="526"/>
      <c r="BG634" s="526"/>
    </row>
    <row r="635" spans="1:59" s="830" customFormat="1" ht="17.25" customHeight="1" x14ac:dyDescent="0.25">
      <c r="A635" s="865"/>
      <c r="B635" s="865"/>
      <c r="C635" s="908"/>
      <c r="G635" s="865"/>
      <c r="H635" s="874"/>
      <c r="I635" s="869"/>
      <c r="J635" s="869"/>
      <c r="K635" s="869"/>
      <c r="L635" s="869"/>
      <c r="M635" s="874"/>
      <c r="O635" s="874"/>
      <c r="P635" s="874"/>
      <c r="Q635" s="874"/>
      <c r="R635" s="874"/>
      <c r="S635" s="874"/>
      <c r="T635" s="874"/>
      <c r="W635" s="874"/>
      <c r="X635" s="874"/>
      <c r="Y635" s="874"/>
      <c r="Z635" s="874"/>
      <c r="AA635" s="874"/>
      <c r="AD635" s="526"/>
      <c r="AE635" s="526"/>
      <c r="AF635" s="526"/>
      <c r="AG635" s="526"/>
      <c r="AH635" s="526"/>
      <c r="AI635" s="526"/>
      <c r="AJ635" s="526"/>
      <c r="AK635" s="526"/>
      <c r="AL635" s="526"/>
      <c r="AM635" s="526"/>
      <c r="AN635" s="526"/>
      <c r="AO635" s="526"/>
      <c r="AP635" s="526"/>
      <c r="AQ635" s="526"/>
      <c r="AR635" s="526"/>
      <c r="AS635" s="526"/>
      <c r="AT635" s="526"/>
      <c r="AU635" s="526"/>
      <c r="AV635" s="526"/>
      <c r="AW635" s="526"/>
      <c r="AX635" s="526"/>
      <c r="AY635" s="526"/>
      <c r="AZ635" s="526"/>
      <c r="BA635" s="526"/>
      <c r="BB635" s="526"/>
      <c r="BC635" s="526"/>
      <c r="BD635" s="526"/>
      <c r="BE635" s="526"/>
      <c r="BF635" s="526"/>
      <c r="BG635" s="526"/>
    </row>
    <row r="636" spans="1:59" s="830" customFormat="1" ht="17.25" customHeight="1" x14ac:dyDescent="0.25">
      <c r="A636" s="865"/>
      <c r="B636" s="865"/>
      <c r="C636" s="908"/>
      <c r="G636" s="865"/>
      <c r="H636" s="874"/>
      <c r="I636" s="869"/>
      <c r="J636" s="869"/>
      <c r="K636" s="869"/>
      <c r="L636" s="869"/>
      <c r="M636" s="874"/>
      <c r="O636" s="874"/>
      <c r="P636" s="874"/>
      <c r="Q636" s="874"/>
      <c r="R636" s="874"/>
      <c r="S636" s="874"/>
      <c r="T636" s="874"/>
      <c r="W636" s="874"/>
      <c r="X636" s="874"/>
      <c r="Y636" s="874"/>
      <c r="Z636" s="874"/>
      <c r="AA636" s="874"/>
      <c r="AD636" s="526"/>
      <c r="AE636" s="526"/>
      <c r="AF636" s="526"/>
      <c r="AG636" s="526"/>
      <c r="AH636" s="526"/>
      <c r="AI636" s="526"/>
      <c r="AJ636" s="526"/>
      <c r="AK636" s="526"/>
      <c r="AL636" s="526"/>
      <c r="AM636" s="526"/>
      <c r="AN636" s="526"/>
      <c r="AO636" s="526"/>
      <c r="AP636" s="526"/>
      <c r="AQ636" s="526"/>
      <c r="AR636" s="526"/>
      <c r="AS636" s="526"/>
      <c r="AT636" s="526"/>
      <c r="AU636" s="526"/>
      <c r="AV636" s="526"/>
      <c r="AW636" s="526"/>
      <c r="AX636" s="526"/>
      <c r="AY636" s="526"/>
      <c r="AZ636" s="526"/>
      <c r="BA636" s="526"/>
      <c r="BB636" s="526"/>
      <c r="BC636" s="526"/>
      <c r="BD636" s="526"/>
      <c r="BE636" s="526"/>
      <c r="BF636" s="526"/>
      <c r="BG636" s="526"/>
    </row>
    <row r="637" spans="1:59" s="830" customFormat="1" ht="17.25" customHeight="1" x14ac:dyDescent="0.25">
      <c r="A637" s="865"/>
      <c r="B637" s="865"/>
      <c r="C637" s="908"/>
      <c r="G637" s="865"/>
      <c r="H637" s="874"/>
      <c r="I637" s="869"/>
      <c r="J637" s="869"/>
      <c r="K637" s="869"/>
      <c r="L637" s="869"/>
      <c r="M637" s="874"/>
      <c r="O637" s="874"/>
      <c r="P637" s="874"/>
      <c r="Q637" s="874"/>
      <c r="R637" s="874"/>
      <c r="S637" s="874"/>
      <c r="T637" s="874"/>
      <c r="W637" s="874"/>
      <c r="X637" s="874"/>
      <c r="Y637" s="874"/>
      <c r="Z637" s="874"/>
      <c r="AA637" s="874"/>
      <c r="AD637" s="526"/>
      <c r="AE637" s="526"/>
      <c r="AF637" s="526"/>
      <c r="AG637" s="526"/>
      <c r="AH637" s="526"/>
      <c r="AI637" s="526"/>
      <c r="AJ637" s="526"/>
      <c r="AK637" s="526"/>
      <c r="AL637" s="526"/>
      <c r="AM637" s="526"/>
      <c r="AN637" s="526"/>
      <c r="AO637" s="526"/>
      <c r="AP637" s="526"/>
      <c r="AQ637" s="526"/>
      <c r="AR637" s="526"/>
      <c r="AS637" s="526"/>
      <c r="AT637" s="526"/>
      <c r="AU637" s="526"/>
      <c r="AV637" s="526"/>
      <c r="AW637" s="526"/>
      <c r="AX637" s="526"/>
      <c r="AY637" s="526"/>
      <c r="AZ637" s="526"/>
      <c r="BA637" s="526"/>
      <c r="BB637" s="526"/>
      <c r="BC637" s="526"/>
      <c r="BD637" s="526"/>
      <c r="BE637" s="526"/>
      <c r="BF637" s="526"/>
      <c r="BG637" s="526"/>
    </row>
    <row r="638" spans="1:59" s="830" customFormat="1" ht="17.25" customHeight="1" x14ac:dyDescent="0.25">
      <c r="A638" s="865"/>
      <c r="B638" s="865"/>
      <c r="C638" s="908"/>
      <c r="G638" s="865"/>
      <c r="H638" s="874"/>
      <c r="I638" s="869"/>
      <c r="J638" s="869"/>
      <c r="K638" s="869"/>
      <c r="L638" s="869"/>
      <c r="M638" s="874"/>
      <c r="O638" s="874"/>
      <c r="P638" s="874"/>
      <c r="Q638" s="874"/>
      <c r="R638" s="874"/>
      <c r="S638" s="874"/>
      <c r="T638" s="874"/>
      <c r="W638" s="874"/>
      <c r="X638" s="874"/>
      <c r="Y638" s="874"/>
      <c r="Z638" s="874"/>
      <c r="AA638" s="874"/>
      <c r="AD638" s="526"/>
      <c r="AE638" s="526"/>
      <c r="AF638" s="526"/>
      <c r="AG638" s="526"/>
      <c r="AH638" s="526"/>
      <c r="AI638" s="526"/>
      <c r="AJ638" s="526"/>
      <c r="AK638" s="526"/>
      <c r="AL638" s="526"/>
      <c r="AM638" s="526"/>
      <c r="AN638" s="526"/>
      <c r="AO638" s="526"/>
      <c r="AP638" s="526"/>
      <c r="AQ638" s="526"/>
      <c r="AR638" s="526"/>
      <c r="AS638" s="526"/>
      <c r="AT638" s="526"/>
      <c r="AU638" s="526"/>
      <c r="AV638" s="526"/>
      <c r="AW638" s="526"/>
      <c r="AX638" s="526"/>
      <c r="AY638" s="526"/>
      <c r="AZ638" s="526"/>
      <c r="BA638" s="526"/>
      <c r="BB638" s="526"/>
      <c r="BC638" s="526"/>
      <c r="BD638" s="526"/>
      <c r="BE638" s="526"/>
      <c r="BF638" s="526"/>
      <c r="BG638" s="526"/>
    </row>
    <row r="639" spans="1:59" s="830" customFormat="1" ht="17.25" customHeight="1" x14ac:dyDescent="0.25">
      <c r="A639" s="865"/>
      <c r="B639" s="865"/>
      <c r="C639" s="908"/>
      <c r="G639" s="865"/>
      <c r="H639" s="874"/>
      <c r="I639" s="869"/>
      <c r="J639" s="869"/>
      <c r="K639" s="869"/>
      <c r="L639" s="869"/>
      <c r="M639" s="874"/>
      <c r="O639" s="874"/>
      <c r="P639" s="874"/>
      <c r="Q639" s="874"/>
      <c r="R639" s="874"/>
      <c r="S639" s="874"/>
      <c r="T639" s="874"/>
      <c r="W639" s="874"/>
      <c r="X639" s="874"/>
      <c r="Y639" s="874"/>
      <c r="Z639" s="874"/>
      <c r="AA639" s="874"/>
      <c r="AD639" s="526"/>
      <c r="AE639" s="526"/>
      <c r="AF639" s="526"/>
      <c r="AG639" s="526"/>
      <c r="AH639" s="526"/>
      <c r="AI639" s="526"/>
      <c r="AJ639" s="526"/>
      <c r="AK639" s="526"/>
      <c r="AL639" s="526"/>
      <c r="AM639" s="526"/>
      <c r="AN639" s="526"/>
      <c r="AO639" s="526"/>
      <c r="AP639" s="526"/>
      <c r="AQ639" s="526"/>
      <c r="AR639" s="526"/>
      <c r="AS639" s="526"/>
      <c r="AT639" s="526"/>
      <c r="AU639" s="526"/>
      <c r="AV639" s="526"/>
      <c r="AW639" s="526"/>
      <c r="AX639" s="526"/>
      <c r="AY639" s="526"/>
      <c r="AZ639" s="526"/>
      <c r="BA639" s="526"/>
      <c r="BB639" s="526"/>
      <c r="BC639" s="526"/>
      <c r="BD639" s="526"/>
      <c r="BE639" s="526"/>
      <c r="BF639" s="526"/>
      <c r="BG639" s="526"/>
    </row>
    <row r="640" spans="1:59" s="830" customFormat="1" ht="17.25" customHeight="1" x14ac:dyDescent="0.25">
      <c r="A640" s="865"/>
      <c r="B640" s="865"/>
      <c r="C640" s="908"/>
      <c r="G640" s="865"/>
      <c r="H640" s="874"/>
      <c r="I640" s="869"/>
      <c r="J640" s="869"/>
      <c r="K640" s="869"/>
      <c r="L640" s="869"/>
      <c r="M640" s="874"/>
      <c r="O640" s="874"/>
      <c r="P640" s="874"/>
      <c r="Q640" s="874"/>
      <c r="R640" s="874"/>
      <c r="S640" s="874"/>
      <c r="T640" s="874"/>
      <c r="W640" s="874"/>
      <c r="X640" s="874"/>
      <c r="Y640" s="874"/>
      <c r="Z640" s="874"/>
      <c r="AA640" s="874"/>
      <c r="AD640" s="526"/>
      <c r="AE640" s="526"/>
      <c r="AF640" s="526"/>
      <c r="AG640" s="526"/>
      <c r="AH640" s="526"/>
      <c r="AI640" s="526"/>
      <c r="AJ640" s="526"/>
      <c r="AK640" s="526"/>
      <c r="AL640" s="526"/>
      <c r="AM640" s="526"/>
      <c r="AN640" s="526"/>
      <c r="AO640" s="526"/>
      <c r="AP640" s="526"/>
      <c r="AQ640" s="526"/>
      <c r="AR640" s="526"/>
      <c r="AS640" s="526"/>
      <c r="AT640" s="526"/>
      <c r="AU640" s="526"/>
      <c r="AV640" s="526"/>
      <c r="AW640" s="526"/>
      <c r="AX640" s="526"/>
      <c r="AY640" s="526"/>
      <c r="AZ640" s="526"/>
      <c r="BA640" s="526"/>
      <c r="BB640" s="526"/>
      <c r="BC640" s="526"/>
      <c r="BD640" s="526"/>
      <c r="BE640" s="526"/>
      <c r="BF640" s="526"/>
      <c r="BG640" s="526"/>
    </row>
    <row r="641" spans="1:59" s="830" customFormat="1" ht="17.25" customHeight="1" x14ac:dyDescent="0.25">
      <c r="A641" s="865"/>
      <c r="B641" s="865"/>
      <c r="C641" s="908"/>
      <c r="G641" s="865"/>
      <c r="H641" s="874"/>
      <c r="I641" s="869"/>
      <c r="J641" s="869"/>
      <c r="K641" s="869"/>
      <c r="L641" s="869"/>
      <c r="M641" s="874"/>
      <c r="O641" s="874"/>
      <c r="P641" s="874"/>
      <c r="Q641" s="874"/>
      <c r="R641" s="874"/>
      <c r="S641" s="874"/>
      <c r="T641" s="874"/>
      <c r="W641" s="874"/>
      <c r="X641" s="874"/>
      <c r="Y641" s="874"/>
      <c r="Z641" s="874"/>
      <c r="AA641" s="874"/>
      <c r="AD641" s="526"/>
      <c r="AE641" s="526"/>
      <c r="AF641" s="526"/>
      <c r="AG641" s="526"/>
      <c r="AH641" s="526"/>
      <c r="AI641" s="526"/>
      <c r="AJ641" s="526"/>
      <c r="AK641" s="526"/>
      <c r="AL641" s="526"/>
      <c r="AM641" s="526"/>
      <c r="AN641" s="526"/>
      <c r="AO641" s="526"/>
      <c r="AP641" s="526"/>
      <c r="AQ641" s="526"/>
      <c r="AR641" s="526"/>
      <c r="AS641" s="526"/>
      <c r="AT641" s="526"/>
      <c r="AU641" s="526"/>
      <c r="AV641" s="526"/>
      <c r="AW641" s="526"/>
      <c r="AX641" s="526"/>
      <c r="AY641" s="526"/>
      <c r="AZ641" s="526"/>
      <c r="BA641" s="526"/>
      <c r="BB641" s="526"/>
      <c r="BC641" s="526"/>
      <c r="BD641" s="526"/>
      <c r="BE641" s="526"/>
      <c r="BF641" s="526"/>
      <c r="BG641" s="526"/>
    </row>
    <row r="642" spans="1:59" s="830" customFormat="1" ht="17.25" customHeight="1" x14ac:dyDescent="0.25">
      <c r="A642" s="865"/>
      <c r="B642" s="865"/>
      <c r="C642" s="908"/>
      <c r="G642" s="865"/>
      <c r="H642" s="874"/>
      <c r="I642" s="869"/>
      <c r="J642" s="869"/>
      <c r="K642" s="869"/>
      <c r="L642" s="869"/>
      <c r="M642" s="874"/>
      <c r="O642" s="874"/>
      <c r="P642" s="874"/>
      <c r="Q642" s="874"/>
      <c r="R642" s="874"/>
      <c r="S642" s="874"/>
      <c r="T642" s="874"/>
      <c r="W642" s="874"/>
      <c r="X642" s="874"/>
      <c r="Y642" s="874"/>
      <c r="Z642" s="874"/>
      <c r="AA642" s="874"/>
      <c r="AD642" s="526"/>
      <c r="AE642" s="526"/>
      <c r="AF642" s="526"/>
      <c r="AG642" s="526"/>
      <c r="AH642" s="526"/>
      <c r="AI642" s="526"/>
      <c r="AJ642" s="526"/>
      <c r="AK642" s="526"/>
      <c r="AL642" s="526"/>
      <c r="AM642" s="526"/>
      <c r="AN642" s="526"/>
      <c r="AO642" s="526"/>
      <c r="AP642" s="526"/>
      <c r="AQ642" s="526"/>
      <c r="AR642" s="526"/>
      <c r="AS642" s="526"/>
      <c r="AT642" s="526"/>
      <c r="AU642" s="526"/>
      <c r="AV642" s="526"/>
      <c r="AW642" s="526"/>
      <c r="AX642" s="526"/>
      <c r="AY642" s="526"/>
      <c r="AZ642" s="526"/>
      <c r="BA642" s="526"/>
      <c r="BB642" s="526"/>
      <c r="BC642" s="526"/>
      <c r="BD642" s="526"/>
      <c r="BE642" s="526"/>
      <c r="BF642" s="526"/>
      <c r="BG642" s="526"/>
    </row>
    <row r="643" spans="1:59" s="830" customFormat="1" ht="17.25" customHeight="1" x14ac:dyDescent="0.25">
      <c r="A643" s="865"/>
      <c r="B643" s="865"/>
      <c r="C643" s="908"/>
      <c r="G643" s="865"/>
      <c r="H643" s="874"/>
      <c r="I643" s="869"/>
      <c r="J643" s="869"/>
      <c r="K643" s="869"/>
      <c r="L643" s="869"/>
      <c r="M643" s="874"/>
      <c r="O643" s="874"/>
      <c r="P643" s="874"/>
      <c r="Q643" s="874"/>
      <c r="R643" s="874"/>
      <c r="S643" s="874"/>
      <c r="T643" s="874"/>
      <c r="W643" s="874"/>
      <c r="X643" s="874"/>
      <c r="Y643" s="874"/>
      <c r="Z643" s="874"/>
      <c r="AA643" s="874"/>
      <c r="AD643" s="526"/>
      <c r="AE643" s="526"/>
      <c r="AF643" s="526"/>
      <c r="AG643" s="526"/>
      <c r="AH643" s="526"/>
      <c r="AI643" s="526"/>
      <c r="AJ643" s="526"/>
      <c r="AK643" s="526"/>
      <c r="AL643" s="526"/>
      <c r="AM643" s="526"/>
      <c r="AN643" s="526"/>
      <c r="AO643" s="526"/>
      <c r="AP643" s="526"/>
      <c r="AQ643" s="526"/>
      <c r="AR643" s="526"/>
      <c r="AS643" s="526"/>
      <c r="AT643" s="526"/>
      <c r="AU643" s="526"/>
      <c r="AV643" s="526"/>
      <c r="AW643" s="526"/>
      <c r="AX643" s="526"/>
      <c r="AY643" s="526"/>
      <c r="AZ643" s="526"/>
      <c r="BA643" s="526"/>
      <c r="BB643" s="526"/>
      <c r="BC643" s="526"/>
      <c r="BD643" s="526"/>
      <c r="BE643" s="526"/>
      <c r="BF643" s="526"/>
      <c r="BG643" s="526"/>
    </row>
    <row r="644" spans="1:59" s="830" customFormat="1" ht="17.25" customHeight="1" x14ac:dyDescent="0.25">
      <c r="A644" s="865"/>
      <c r="B644" s="865"/>
      <c r="C644" s="908"/>
      <c r="G644" s="865"/>
      <c r="H644" s="874"/>
      <c r="I644" s="869"/>
      <c r="J644" s="869"/>
      <c r="K644" s="869"/>
      <c r="L644" s="869"/>
      <c r="M644" s="874"/>
      <c r="O644" s="874"/>
      <c r="P644" s="874"/>
      <c r="Q644" s="874"/>
      <c r="R644" s="874"/>
      <c r="S644" s="874"/>
      <c r="T644" s="874"/>
      <c r="W644" s="874"/>
      <c r="X644" s="874"/>
      <c r="Y644" s="874"/>
      <c r="Z644" s="874"/>
      <c r="AA644" s="874"/>
      <c r="AD644" s="526"/>
      <c r="AE644" s="526"/>
      <c r="AF644" s="526"/>
      <c r="AG644" s="526"/>
      <c r="AH644" s="526"/>
      <c r="AI644" s="526"/>
      <c r="AJ644" s="526"/>
      <c r="AK644" s="526"/>
      <c r="AL644" s="526"/>
      <c r="AM644" s="526"/>
      <c r="AN644" s="526"/>
      <c r="AO644" s="526"/>
      <c r="AP644" s="526"/>
      <c r="AQ644" s="526"/>
      <c r="AR644" s="526"/>
      <c r="AS644" s="526"/>
      <c r="AT644" s="526"/>
      <c r="AU644" s="526"/>
      <c r="AV644" s="526"/>
      <c r="AW644" s="526"/>
      <c r="AX644" s="526"/>
      <c r="AY644" s="526"/>
      <c r="AZ644" s="526"/>
      <c r="BA644" s="526"/>
      <c r="BB644" s="526"/>
      <c r="BC644" s="526"/>
      <c r="BD644" s="526"/>
      <c r="BE644" s="526"/>
      <c r="BF644" s="526"/>
      <c r="BG644" s="526"/>
    </row>
    <row r="645" spans="1:59" s="830" customFormat="1" ht="17.25" customHeight="1" x14ac:dyDescent="0.25">
      <c r="A645" s="865"/>
      <c r="B645" s="865"/>
      <c r="C645" s="908"/>
      <c r="G645" s="865"/>
      <c r="H645" s="874"/>
      <c r="I645" s="869"/>
      <c r="J645" s="869"/>
      <c r="K645" s="869"/>
      <c r="L645" s="869"/>
      <c r="M645" s="874"/>
      <c r="O645" s="874"/>
      <c r="P645" s="874"/>
      <c r="Q645" s="874"/>
      <c r="R645" s="874"/>
      <c r="S645" s="874"/>
      <c r="T645" s="874"/>
      <c r="W645" s="874"/>
      <c r="X645" s="874"/>
      <c r="Y645" s="874"/>
      <c r="Z645" s="874"/>
      <c r="AA645" s="874"/>
      <c r="AD645" s="526"/>
      <c r="AE645" s="526"/>
      <c r="AF645" s="526"/>
      <c r="AG645" s="526"/>
      <c r="AH645" s="526"/>
      <c r="AI645" s="526"/>
      <c r="AJ645" s="526"/>
      <c r="AK645" s="526"/>
      <c r="AL645" s="526"/>
      <c r="AM645" s="526"/>
      <c r="AN645" s="526"/>
      <c r="AO645" s="526"/>
      <c r="AP645" s="526"/>
      <c r="AQ645" s="526"/>
      <c r="AR645" s="526"/>
      <c r="AS645" s="526"/>
      <c r="AT645" s="526"/>
      <c r="AU645" s="526"/>
      <c r="AV645" s="526"/>
      <c r="AW645" s="526"/>
      <c r="AX645" s="526"/>
      <c r="AY645" s="526"/>
      <c r="AZ645" s="526"/>
      <c r="BA645" s="526"/>
      <c r="BB645" s="526"/>
      <c r="BC645" s="526"/>
      <c r="BD645" s="526"/>
      <c r="BE645" s="526"/>
      <c r="BF645" s="526"/>
      <c r="BG645" s="526"/>
    </row>
    <row r="646" spans="1:59" s="830" customFormat="1" ht="17.25" customHeight="1" x14ac:dyDescent="0.25">
      <c r="A646" s="865"/>
      <c r="B646" s="865"/>
      <c r="C646" s="908"/>
      <c r="G646" s="865"/>
      <c r="H646" s="874"/>
      <c r="I646" s="869"/>
      <c r="J646" s="869"/>
      <c r="K646" s="869"/>
      <c r="L646" s="869"/>
      <c r="M646" s="874"/>
      <c r="O646" s="874"/>
      <c r="P646" s="874"/>
      <c r="Q646" s="874"/>
      <c r="R646" s="874"/>
      <c r="S646" s="874"/>
      <c r="T646" s="874"/>
      <c r="W646" s="874"/>
      <c r="X646" s="874"/>
      <c r="Y646" s="874"/>
      <c r="Z646" s="874"/>
      <c r="AA646" s="874"/>
      <c r="AD646" s="526"/>
      <c r="AE646" s="526"/>
      <c r="AF646" s="526"/>
      <c r="AG646" s="526"/>
      <c r="AH646" s="526"/>
      <c r="AI646" s="526"/>
      <c r="AJ646" s="526"/>
      <c r="AK646" s="526"/>
      <c r="AL646" s="526"/>
      <c r="AM646" s="526"/>
      <c r="AN646" s="526"/>
      <c r="AO646" s="526"/>
      <c r="AP646" s="526"/>
      <c r="AQ646" s="526"/>
      <c r="AR646" s="526"/>
      <c r="AS646" s="526"/>
      <c r="AT646" s="526"/>
      <c r="AU646" s="526"/>
      <c r="AV646" s="526"/>
      <c r="AW646" s="526"/>
      <c r="AX646" s="526"/>
      <c r="AY646" s="526"/>
      <c r="AZ646" s="526"/>
      <c r="BA646" s="526"/>
      <c r="BB646" s="526"/>
      <c r="BC646" s="526"/>
      <c r="BD646" s="526"/>
      <c r="BE646" s="526"/>
      <c r="BF646" s="526"/>
      <c r="BG646" s="526"/>
    </row>
    <row r="647" spans="1:59" s="830" customFormat="1" ht="17.25" customHeight="1" x14ac:dyDescent="0.25">
      <c r="A647" s="865"/>
      <c r="B647" s="865"/>
      <c r="C647" s="908"/>
      <c r="G647" s="865"/>
      <c r="H647" s="874"/>
      <c r="I647" s="869"/>
      <c r="J647" s="869"/>
      <c r="K647" s="869"/>
      <c r="L647" s="869"/>
      <c r="M647" s="874"/>
      <c r="O647" s="874"/>
      <c r="P647" s="874"/>
      <c r="Q647" s="874"/>
      <c r="R647" s="874"/>
      <c r="S647" s="874"/>
      <c r="T647" s="874"/>
      <c r="W647" s="874"/>
      <c r="X647" s="874"/>
      <c r="Y647" s="874"/>
      <c r="Z647" s="874"/>
      <c r="AA647" s="874"/>
      <c r="AD647" s="526"/>
      <c r="AE647" s="526"/>
      <c r="AF647" s="526"/>
      <c r="AG647" s="526"/>
      <c r="AH647" s="526"/>
      <c r="AI647" s="526"/>
      <c r="AJ647" s="526"/>
      <c r="AK647" s="526"/>
      <c r="AL647" s="526"/>
      <c r="AM647" s="526"/>
      <c r="AN647" s="526"/>
      <c r="AO647" s="526"/>
      <c r="AP647" s="526"/>
      <c r="AQ647" s="526"/>
      <c r="AR647" s="526"/>
      <c r="AS647" s="526"/>
      <c r="AT647" s="526"/>
      <c r="AU647" s="526"/>
      <c r="AV647" s="526"/>
      <c r="AW647" s="526"/>
      <c r="AX647" s="526"/>
      <c r="AY647" s="526"/>
      <c r="AZ647" s="526"/>
      <c r="BA647" s="526"/>
      <c r="BB647" s="526"/>
      <c r="BC647" s="526"/>
      <c r="BD647" s="526"/>
      <c r="BE647" s="526"/>
      <c r="BF647" s="526"/>
      <c r="BG647" s="526"/>
    </row>
    <row r="648" spans="1:59" s="830" customFormat="1" ht="17.25" customHeight="1" x14ac:dyDescent="0.25">
      <c r="A648" s="865"/>
      <c r="B648" s="865"/>
      <c r="C648" s="908"/>
      <c r="G648" s="865"/>
      <c r="H648" s="874"/>
      <c r="I648" s="869"/>
      <c r="J648" s="869"/>
      <c r="K648" s="869"/>
      <c r="L648" s="869"/>
      <c r="M648" s="874"/>
      <c r="O648" s="874"/>
      <c r="P648" s="874"/>
      <c r="Q648" s="874"/>
      <c r="R648" s="874"/>
      <c r="S648" s="874"/>
      <c r="T648" s="874"/>
      <c r="W648" s="874"/>
      <c r="X648" s="874"/>
      <c r="Y648" s="874"/>
      <c r="Z648" s="874"/>
      <c r="AA648" s="874"/>
      <c r="AD648" s="526"/>
      <c r="AE648" s="526"/>
      <c r="AF648" s="526"/>
      <c r="AG648" s="526"/>
      <c r="AH648" s="526"/>
      <c r="AI648" s="526"/>
      <c r="AJ648" s="526"/>
      <c r="AK648" s="526"/>
      <c r="AL648" s="526"/>
      <c r="AM648" s="526"/>
      <c r="AN648" s="526"/>
      <c r="AO648" s="526"/>
      <c r="AP648" s="526"/>
      <c r="AQ648" s="526"/>
      <c r="AR648" s="526"/>
      <c r="AS648" s="526"/>
      <c r="AT648" s="526"/>
      <c r="AU648" s="526"/>
      <c r="AV648" s="526"/>
      <c r="AW648" s="526"/>
      <c r="AX648" s="526"/>
      <c r="AY648" s="526"/>
      <c r="AZ648" s="526"/>
      <c r="BA648" s="526"/>
      <c r="BB648" s="526"/>
      <c r="BC648" s="526"/>
      <c r="BD648" s="526"/>
      <c r="BE648" s="526"/>
      <c r="BF648" s="526"/>
      <c r="BG648" s="526"/>
    </row>
    <row r="649" spans="1:59" s="830" customFormat="1" ht="17.25" customHeight="1" x14ac:dyDescent="0.25">
      <c r="A649" s="865"/>
      <c r="B649" s="865"/>
      <c r="C649" s="908"/>
      <c r="G649" s="865"/>
      <c r="H649" s="874"/>
      <c r="I649" s="869"/>
      <c r="J649" s="869"/>
      <c r="K649" s="869"/>
      <c r="L649" s="869"/>
      <c r="M649" s="874"/>
      <c r="O649" s="874"/>
      <c r="P649" s="874"/>
      <c r="Q649" s="874"/>
      <c r="R649" s="874"/>
      <c r="S649" s="874"/>
      <c r="T649" s="874"/>
      <c r="W649" s="874"/>
      <c r="X649" s="874"/>
      <c r="Y649" s="874"/>
      <c r="Z649" s="874"/>
      <c r="AA649" s="874"/>
      <c r="AD649" s="526"/>
      <c r="AE649" s="526"/>
      <c r="AF649" s="526"/>
      <c r="AG649" s="526"/>
      <c r="AH649" s="526"/>
      <c r="AI649" s="526"/>
      <c r="AJ649" s="526"/>
      <c r="AK649" s="526"/>
      <c r="AL649" s="526"/>
      <c r="AM649" s="526"/>
      <c r="AN649" s="526"/>
      <c r="AO649" s="526"/>
      <c r="AP649" s="526"/>
      <c r="AQ649" s="526"/>
      <c r="AR649" s="526"/>
      <c r="AS649" s="526"/>
      <c r="AT649" s="526"/>
      <c r="AU649" s="526"/>
      <c r="AV649" s="526"/>
      <c r="AW649" s="526"/>
      <c r="AX649" s="526"/>
      <c r="AY649" s="526"/>
      <c r="AZ649" s="526"/>
      <c r="BA649" s="526"/>
      <c r="BB649" s="526"/>
      <c r="BC649" s="526"/>
      <c r="BD649" s="526"/>
      <c r="BE649" s="526"/>
      <c r="BF649" s="526"/>
      <c r="BG649" s="526"/>
    </row>
    <row r="650" spans="1:59" s="830" customFormat="1" ht="17.25" customHeight="1" x14ac:dyDescent="0.25">
      <c r="A650" s="865"/>
      <c r="B650" s="865"/>
      <c r="C650" s="908"/>
      <c r="G650" s="865"/>
      <c r="H650" s="874"/>
      <c r="I650" s="869"/>
      <c r="J650" s="869"/>
      <c r="K650" s="869"/>
      <c r="L650" s="869"/>
      <c r="M650" s="874"/>
      <c r="O650" s="874"/>
      <c r="P650" s="874"/>
      <c r="Q650" s="874"/>
      <c r="R650" s="874"/>
      <c r="S650" s="874"/>
      <c r="T650" s="874"/>
      <c r="W650" s="874"/>
      <c r="X650" s="874"/>
      <c r="Y650" s="874"/>
      <c r="Z650" s="874"/>
      <c r="AA650" s="874"/>
      <c r="AD650" s="526"/>
      <c r="AE650" s="526"/>
      <c r="AF650" s="526"/>
      <c r="AG650" s="526"/>
      <c r="AH650" s="526"/>
      <c r="AI650" s="526"/>
      <c r="AJ650" s="526"/>
      <c r="AK650" s="526"/>
      <c r="AL650" s="526"/>
      <c r="AM650" s="526"/>
      <c r="AN650" s="526"/>
      <c r="AO650" s="526"/>
      <c r="AP650" s="526"/>
      <c r="AQ650" s="526"/>
      <c r="AR650" s="526"/>
      <c r="AS650" s="526"/>
      <c r="AT650" s="526"/>
      <c r="AU650" s="526"/>
      <c r="AV650" s="526"/>
      <c r="AW650" s="526"/>
      <c r="AX650" s="526"/>
      <c r="AY650" s="526"/>
      <c r="AZ650" s="526"/>
      <c r="BA650" s="526"/>
      <c r="BB650" s="526"/>
      <c r="BC650" s="526"/>
      <c r="BD650" s="526"/>
      <c r="BE650" s="526"/>
      <c r="BF650" s="526"/>
      <c r="BG650" s="526"/>
    </row>
    <row r="651" spans="1:59" s="830" customFormat="1" ht="17.25" customHeight="1" x14ac:dyDescent="0.25">
      <c r="A651" s="865"/>
      <c r="B651" s="865"/>
      <c r="C651" s="908"/>
      <c r="G651" s="865"/>
      <c r="H651" s="874"/>
      <c r="I651" s="869"/>
      <c r="J651" s="869"/>
      <c r="K651" s="869"/>
      <c r="L651" s="869"/>
      <c r="M651" s="874"/>
      <c r="O651" s="874"/>
      <c r="P651" s="874"/>
      <c r="Q651" s="874"/>
      <c r="R651" s="874"/>
      <c r="S651" s="874"/>
      <c r="T651" s="874"/>
      <c r="W651" s="874"/>
      <c r="X651" s="874"/>
      <c r="Y651" s="874"/>
      <c r="Z651" s="874"/>
      <c r="AA651" s="874"/>
      <c r="AD651" s="526"/>
      <c r="AE651" s="526"/>
      <c r="AF651" s="526"/>
      <c r="AG651" s="526"/>
      <c r="AH651" s="526"/>
      <c r="AI651" s="526"/>
      <c r="AJ651" s="526"/>
      <c r="AK651" s="526"/>
      <c r="AL651" s="526"/>
      <c r="AM651" s="526"/>
      <c r="AN651" s="526"/>
      <c r="AO651" s="526"/>
      <c r="AP651" s="526"/>
      <c r="AQ651" s="526"/>
      <c r="AR651" s="526"/>
      <c r="AS651" s="526"/>
      <c r="AT651" s="526"/>
      <c r="AU651" s="526"/>
      <c r="AV651" s="526"/>
      <c r="AW651" s="526"/>
      <c r="AX651" s="526"/>
      <c r="AY651" s="526"/>
      <c r="AZ651" s="526"/>
      <c r="BA651" s="526"/>
      <c r="BB651" s="526"/>
      <c r="BC651" s="526"/>
      <c r="BD651" s="526"/>
      <c r="BE651" s="526"/>
      <c r="BF651" s="526"/>
      <c r="BG651" s="526"/>
    </row>
    <row r="652" spans="1:59" s="830" customFormat="1" ht="17.25" customHeight="1" x14ac:dyDescent="0.25">
      <c r="A652" s="865"/>
      <c r="B652" s="865"/>
      <c r="C652" s="908"/>
      <c r="G652" s="865"/>
      <c r="H652" s="874"/>
      <c r="I652" s="869"/>
      <c r="J652" s="869"/>
      <c r="K652" s="869"/>
      <c r="L652" s="869"/>
      <c r="M652" s="874"/>
      <c r="O652" s="874"/>
      <c r="P652" s="874"/>
      <c r="Q652" s="874"/>
      <c r="R652" s="874"/>
      <c r="S652" s="874"/>
      <c r="T652" s="874"/>
      <c r="W652" s="874"/>
      <c r="X652" s="874"/>
      <c r="Y652" s="874"/>
      <c r="Z652" s="874"/>
      <c r="AA652" s="874"/>
      <c r="AD652" s="526"/>
      <c r="AE652" s="526"/>
      <c r="AF652" s="526"/>
      <c r="AG652" s="526"/>
      <c r="AH652" s="526"/>
      <c r="AI652" s="526"/>
      <c r="AJ652" s="526"/>
      <c r="AK652" s="526"/>
      <c r="AL652" s="526"/>
      <c r="AM652" s="526"/>
      <c r="AN652" s="526"/>
      <c r="AO652" s="526"/>
      <c r="AP652" s="526"/>
      <c r="AQ652" s="526"/>
      <c r="AR652" s="526"/>
      <c r="AS652" s="526"/>
      <c r="AT652" s="526"/>
      <c r="AU652" s="526"/>
      <c r="AV652" s="526"/>
      <c r="AW652" s="526"/>
      <c r="AX652" s="526"/>
      <c r="AY652" s="526"/>
      <c r="AZ652" s="526"/>
      <c r="BA652" s="526"/>
      <c r="BB652" s="526"/>
      <c r="BC652" s="526"/>
      <c r="BD652" s="526"/>
      <c r="BE652" s="526"/>
      <c r="BF652" s="526"/>
      <c r="BG652" s="526"/>
    </row>
    <row r="653" spans="1:59" s="830" customFormat="1" ht="17.25" customHeight="1" x14ac:dyDescent="0.25">
      <c r="A653" s="865"/>
      <c r="B653" s="865"/>
      <c r="C653" s="908"/>
      <c r="G653" s="865"/>
      <c r="H653" s="874"/>
      <c r="I653" s="869"/>
      <c r="J653" s="869"/>
      <c r="K653" s="869"/>
      <c r="L653" s="869"/>
      <c r="M653" s="874"/>
      <c r="O653" s="874"/>
      <c r="P653" s="874"/>
      <c r="Q653" s="874"/>
      <c r="R653" s="874"/>
      <c r="S653" s="874"/>
      <c r="T653" s="874"/>
      <c r="W653" s="874"/>
      <c r="X653" s="874"/>
      <c r="Y653" s="874"/>
      <c r="Z653" s="874"/>
      <c r="AA653" s="874"/>
      <c r="AD653" s="526"/>
      <c r="AE653" s="526"/>
      <c r="AF653" s="526"/>
      <c r="AG653" s="526"/>
      <c r="AH653" s="526"/>
      <c r="AI653" s="526"/>
      <c r="AJ653" s="526"/>
      <c r="AK653" s="526"/>
      <c r="AL653" s="526"/>
      <c r="AM653" s="526"/>
      <c r="AN653" s="526"/>
      <c r="AO653" s="526"/>
      <c r="AP653" s="526"/>
      <c r="AQ653" s="526"/>
      <c r="AR653" s="526"/>
      <c r="AS653" s="526"/>
      <c r="AT653" s="526"/>
      <c r="AU653" s="526"/>
      <c r="AV653" s="526"/>
      <c r="AW653" s="526"/>
      <c r="AX653" s="526"/>
      <c r="AY653" s="526"/>
      <c r="AZ653" s="526"/>
      <c r="BA653" s="526"/>
      <c r="BB653" s="526"/>
      <c r="BC653" s="526"/>
      <c r="BD653" s="526"/>
      <c r="BE653" s="526"/>
      <c r="BF653" s="526"/>
      <c r="BG653" s="526"/>
    </row>
    <row r="654" spans="1:59" s="830" customFormat="1" ht="17.25" customHeight="1" x14ac:dyDescent="0.25">
      <c r="A654" s="865"/>
      <c r="B654" s="865"/>
      <c r="C654" s="908"/>
      <c r="G654" s="865"/>
      <c r="H654" s="874"/>
      <c r="I654" s="869"/>
      <c r="J654" s="869"/>
      <c r="K654" s="869"/>
      <c r="L654" s="869"/>
      <c r="M654" s="874"/>
      <c r="O654" s="874"/>
      <c r="P654" s="874"/>
      <c r="Q654" s="874"/>
      <c r="R654" s="874"/>
      <c r="S654" s="874"/>
      <c r="T654" s="874"/>
      <c r="W654" s="874"/>
      <c r="X654" s="874"/>
      <c r="Y654" s="874"/>
      <c r="Z654" s="874"/>
      <c r="AA654" s="874"/>
      <c r="AD654" s="526"/>
      <c r="AE654" s="526"/>
      <c r="AF654" s="526"/>
      <c r="AG654" s="526"/>
      <c r="AH654" s="526"/>
      <c r="AI654" s="526"/>
      <c r="AJ654" s="526"/>
      <c r="AK654" s="526"/>
      <c r="AL654" s="526"/>
      <c r="AM654" s="526"/>
      <c r="AN654" s="526"/>
      <c r="AO654" s="526"/>
      <c r="AP654" s="526"/>
      <c r="AQ654" s="526"/>
      <c r="AR654" s="526"/>
      <c r="AS654" s="526"/>
      <c r="AT654" s="526"/>
      <c r="AU654" s="526"/>
      <c r="AV654" s="526"/>
      <c r="AW654" s="526"/>
      <c r="AX654" s="526"/>
      <c r="AY654" s="526"/>
      <c r="AZ654" s="526"/>
      <c r="BA654" s="526"/>
      <c r="BB654" s="526"/>
      <c r="BC654" s="526"/>
      <c r="BD654" s="526"/>
      <c r="BE654" s="526"/>
      <c r="BF654" s="526"/>
      <c r="BG654" s="526"/>
    </row>
    <row r="655" spans="1:59" s="830" customFormat="1" ht="17.25" customHeight="1" x14ac:dyDescent="0.25">
      <c r="A655" s="865"/>
      <c r="B655" s="865"/>
      <c r="C655" s="908"/>
      <c r="G655" s="865"/>
      <c r="H655" s="874"/>
      <c r="I655" s="869"/>
      <c r="J655" s="869"/>
      <c r="K655" s="869"/>
      <c r="L655" s="869"/>
      <c r="M655" s="874"/>
      <c r="O655" s="874"/>
      <c r="P655" s="874"/>
      <c r="Q655" s="874"/>
      <c r="R655" s="874"/>
      <c r="S655" s="874"/>
      <c r="T655" s="874"/>
      <c r="W655" s="874"/>
      <c r="X655" s="874"/>
      <c r="Y655" s="874"/>
      <c r="Z655" s="874"/>
      <c r="AA655" s="874"/>
      <c r="AD655" s="526"/>
      <c r="AE655" s="526"/>
      <c r="AF655" s="526"/>
      <c r="AG655" s="526"/>
      <c r="AH655" s="526"/>
      <c r="AI655" s="526"/>
      <c r="AJ655" s="526"/>
      <c r="AK655" s="526"/>
      <c r="AL655" s="526"/>
      <c r="AM655" s="526"/>
      <c r="AN655" s="526"/>
      <c r="AO655" s="526"/>
      <c r="AP655" s="526"/>
      <c r="AQ655" s="526"/>
      <c r="AR655" s="526"/>
      <c r="AS655" s="526"/>
      <c r="AT655" s="526"/>
      <c r="AU655" s="526"/>
      <c r="AV655" s="526"/>
      <c r="AW655" s="526"/>
      <c r="AX655" s="526"/>
      <c r="AY655" s="526"/>
      <c r="AZ655" s="526"/>
      <c r="BA655" s="526"/>
      <c r="BB655" s="526"/>
      <c r="BC655" s="526"/>
      <c r="BD655" s="526"/>
      <c r="BE655" s="526"/>
      <c r="BF655" s="526"/>
      <c r="BG655" s="526"/>
    </row>
    <row r="656" spans="1:59" s="830" customFormat="1" ht="17.25" customHeight="1" x14ac:dyDescent="0.25">
      <c r="A656" s="865"/>
      <c r="B656" s="865"/>
      <c r="C656" s="908"/>
      <c r="G656" s="865"/>
      <c r="H656" s="874"/>
      <c r="I656" s="869"/>
      <c r="J656" s="869"/>
      <c r="K656" s="869"/>
      <c r="L656" s="869"/>
      <c r="M656" s="874"/>
      <c r="O656" s="874"/>
      <c r="P656" s="874"/>
      <c r="Q656" s="874"/>
      <c r="R656" s="874"/>
      <c r="S656" s="874"/>
      <c r="T656" s="874"/>
      <c r="W656" s="874"/>
      <c r="X656" s="874"/>
      <c r="Y656" s="874"/>
      <c r="Z656" s="874"/>
      <c r="AA656" s="874"/>
      <c r="AD656" s="526"/>
      <c r="AE656" s="526"/>
      <c r="AF656" s="526"/>
      <c r="AG656" s="526"/>
      <c r="AH656" s="526"/>
      <c r="AI656" s="526"/>
      <c r="AJ656" s="526"/>
      <c r="AK656" s="526"/>
      <c r="AL656" s="526"/>
      <c r="AM656" s="526"/>
      <c r="AN656" s="526"/>
      <c r="AO656" s="526"/>
      <c r="AP656" s="526"/>
      <c r="AQ656" s="526"/>
      <c r="AR656" s="526"/>
      <c r="AS656" s="526"/>
      <c r="AT656" s="526"/>
      <c r="AU656" s="526"/>
      <c r="AV656" s="526"/>
      <c r="AW656" s="526"/>
      <c r="AX656" s="526"/>
      <c r="AY656" s="526"/>
      <c r="AZ656" s="526"/>
      <c r="BA656" s="526"/>
      <c r="BB656" s="526"/>
      <c r="BC656" s="526"/>
      <c r="BD656" s="526"/>
      <c r="BE656" s="526"/>
      <c r="BF656" s="526"/>
      <c r="BG656" s="526"/>
    </row>
    <row r="657" spans="1:59" s="830" customFormat="1" ht="17.25" customHeight="1" x14ac:dyDescent="0.25">
      <c r="A657" s="865"/>
      <c r="B657" s="865"/>
      <c r="C657" s="908"/>
      <c r="G657" s="865"/>
      <c r="H657" s="874"/>
      <c r="I657" s="869"/>
      <c r="J657" s="869"/>
      <c r="K657" s="869"/>
      <c r="L657" s="869"/>
      <c r="M657" s="874"/>
      <c r="O657" s="874"/>
      <c r="P657" s="874"/>
      <c r="Q657" s="874"/>
      <c r="R657" s="874"/>
      <c r="S657" s="874"/>
      <c r="T657" s="874"/>
      <c r="W657" s="874"/>
      <c r="X657" s="874"/>
      <c r="Y657" s="874"/>
      <c r="Z657" s="874"/>
      <c r="AA657" s="874"/>
      <c r="AD657" s="526"/>
      <c r="AE657" s="526"/>
      <c r="AF657" s="526"/>
      <c r="AG657" s="526"/>
      <c r="AH657" s="526"/>
      <c r="AI657" s="526"/>
      <c r="AJ657" s="526"/>
      <c r="AK657" s="526"/>
      <c r="AL657" s="526"/>
      <c r="AM657" s="526"/>
      <c r="AN657" s="526"/>
      <c r="AO657" s="526"/>
      <c r="AP657" s="526"/>
      <c r="AQ657" s="526"/>
      <c r="AR657" s="526"/>
      <c r="AS657" s="526"/>
      <c r="AT657" s="526"/>
      <c r="AU657" s="526"/>
      <c r="AV657" s="526"/>
      <c r="AW657" s="526"/>
      <c r="AX657" s="526"/>
      <c r="AY657" s="526"/>
      <c r="AZ657" s="526"/>
      <c r="BA657" s="526"/>
      <c r="BB657" s="526"/>
      <c r="BC657" s="526"/>
      <c r="BD657" s="526"/>
      <c r="BE657" s="526"/>
      <c r="BF657" s="526"/>
      <c r="BG657" s="526"/>
    </row>
    <row r="658" spans="1:59" s="830" customFormat="1" ht="17.25" customHeight="1" x14ac:dyDescent="0.25">
      <c r="A658" s="865"/>
      <c r="B658" s="865"/>
      <c r="C658" s="908"/>
      <c r="G658" s="865"/>
      <c r="H658" s="874"/>
      <c r="I658" s="869"/>
      <c r="J658" s="869"/>
      <c r="K658" s="869"/>
      <c r="L658" s="869"/>
      <c r="M658" s="874"/>
      <c r="O658" s="874"/>
      <c r="P658" s="874"/>
      <c r="Q658" s="874"/>
      <c r="R658" s="874"/>
      <c r="S658" s="874"/>
      <c r="T658" s="874"/>
      <c r="W658" s="874"/>
      <c r="X658" s="874"/>
      <c r="Y658" s="874"/>
      <c r="Z658" s="874"/>
      <c r="AA658" s="874"/>
      <c r="AD658" s="526"/>
      <c r="AE658" s="526"/>
      <c r="AF658" s="526"/>
      <c r="AG658" s="526"/>
      <c r="AH658" s="526"/>
      <c r="AI658" s="526"/>
      <c r="AJ658" s="526"/>
      <c r="AK658" s="526"/>
      <c r="AL658" s="526"/>
      <c r="AM658" s="526"/>
      <c r="AN658" s="526"/>
      <c r="AO658" s="526"/>
      <c r="AP658" s="526"/>
      <c r="AQ658" s="526"/>
      <c r="AR658" s="526"/>
      <c r="AS658" s="526"/>
      <c r="AT658" s="526"/>
      <c r="AU658" s="526"/>
      <c r="AV658" s="526"/>
      <c r="AW658" s="526"/>
      <c r="AX658" s="526"/>
      <c r="AY658" s="526"/>
      <c r="AZ658" s="526"/>
      <c r="BA658" s="526"/>
      <c r="BB658" s="526"/>
      <c r="BC658" s="526"/>
      <c r="BD658" s="526"/>
      <c r="BE658" s="526"/>
      <c r="BF658" s="526"/>
      <c r="BG658" s="526"/>
    </row>
    <row r="659" spans="1:59" s="830" customFormat="1" ht="17.25" customHeight="1" x14ac:dyDescent="0.25">
      <c r="A659" s="865"/>
      <c r="B659" s="865"/>
      <c r="C659" s="908"/>
      <c r="G659" s="865"/>
      <c r="H659" s="874"/>
      <c r="I659" s="869"/>
      <c r="J659" s="869"/>
      <c r="K659" s="869"/>
      <c r="L659" s="869"/>
      <c r="M659" s="874"/>
      <c r="O659" s="874"/>
      <c r="P659" s="874"/>
      <c r="Q659" s="874"/>
      <c r="R659" s="874"/>
      <c r="S659" s="874"/>
      <c r="T659" s="874"/>
      <c r="W659" s="874"/>
      <c r="X659" s="874"/>
      <c r="Y659" s="874"/>
      <c r="Z659" s="874"/>
      <c r="AA659" s="874"/>
      <c r="AD659" s="526"/>
      <c r="AE659" s="526"/>
      <c r="AF659" s="526"/>
      <c r="AG659" s="526"/>
      <c r="AH659" s="526"/>
      <c r="AI659" s="526"/>
      <c r="AJ659" s="526"/>
      <c r="AK659" s="526"/>
      <c r="AL659" s="526"/>
      <c r="AM659" s="526"/>
      <c r="AN659" s="526"/>
      <c r="AO659" s="526"/>
      <c r="AP659" s="526"/>
      <c r="AQ659" s="526"/>
      <c r="AR659" s="526"/>
      <c r="AS659" s="526"/>
      <c r="AT659" s="526"/>
      <c r="AU659" s="526"/>
      <c r="AV659" s="526"/>
      <c r="AW659" s="526"/>
      <c r="AX659" s="526"/>
      <c r="AY659" s="526"/>
      <c r="AZ659" s="526"/>
      <c r="BA659" s="526"/>
      <c r="BB659" s="526"/>
      <c r="BC659" s="526"/>
      <c r="BD659" s="526"/>
      <c r="BE659" s="526"/>
      <c r="BF659" s="526"/>
      <c r="BG659" s="526"/>
    </row>
    <row r="660" spans="1:59" s="830" customFormat="1" ht="17.25" customHeight="1" x14ac:dyDescent="0.25">
      <c r="A660" s="865"/>
      <c r="B660" s="865"/>
      <c r="C660" s="908"/>
      <c r="G660" s="865"/>
      <c r="H660" s="874"/>
      <c r="I660" s="869"/>
      <c r="J660" s="869"/>
      <c r="K660" s="869"/>
      <c r="L660" s="869"/>
      <c r="M660" s="874"/>
      <c r="O660" s="874"/>
      <c r="P660" s="874"/>
      <c r="Q660" s="874"/>
      <c r="R660" s="874"/>
      <c r="S660" s="874"/>
      <c r="T660" s="874"/>
      <c r="W660" s="874"/>
      <c r="X660" s="874"/>
      <c r="Y660" s="874"/>
      <c r="Z660" s="874"/>
      <c r="AA660" s="874"/>
      <c r="AD660" s="526"/>
      <c r="AE660" s="526"/>
      <c r="AF660" s="526"/>
      <c r="AG660" s="526"/>
      <c r="AH660" s="526"/>
      <c r="AI660" s="526"/>
      <c r="AJ660" s="526"/>
      <c r="AK660" s="526"/>
      <c r="AL660" s="526"/>
      <c r="AM660" s="526"/>
      <c r="AN660" s="526"/>
      <c r="AO660" s="526"/>
      <c r="AP660" s="526"/>
      <c r="AQ660" s="526"/>
      <c r="AR660" s="526"/>
      <c r="AS660" s="526"/>
      <c r="AT660" s="526"/>
      <c r="AU660" s="526"/>
      <c r="AV660" s="526"/>
      <c r="AW660" s="526"/>
      <c r="AX660" s="526"/>
      <c r="AY660" s="526"/>
      <c r="AZ660" s="526"/>
      <c r="BA660" s="526"/>
      <c r="BB660" s="526"/>
      <c r="BC660" s="526"/>
      <c r="BD660" s="526"/>
      <c r="BE660" s="526"/>
      <c r="BF660" s="526"/>
      <c r="BG660" s="526"/>
    </row>
    <row r="661" spans="1:59" s="830" customFormat="1" ht="17.25" customHeight="1" x14ac:dyDescent="0.25">
      <c r="A661" s="865"/>
      <c r="B661" s="865"/>
      <c r="C661" s="908"/>
      <c r="G661" s="865"/>
      <c r="H661" s="874"/>
      <c r="I661" s="869"/>
      <c r="J661" s="869"/>
      <c r="K661" s="869"/>
      <c r="L661" s="869"/>
      <c r="M661" s="874"/>
      <c r="O661" s="874"/>
      <c r="P661" s="874"/>
      <c r="Q661" s="874"/>
      <c r="R661" s="874"/>
      <c r="S661" s="874"/>
      <c r="T661" s="874"/>
      <c r="W661" s="874"/>
      <c r="X661" s="874"/>
      <c r="Y661" s="874"/>
      <c r="Z661" s="874"/>
      <c r="AA661" s="874"/>
      <c r="AD661" s="526"/>
      <c r="AE661" s="526"/>
      <c r="AF661" s="526"/>
      <c r="AG661" s="526"/>
      <c r="AH661" s="526"/>
      <c r="AI661" s="526"/>
      <c r="AJ661" s="526"/>
      <c r="AK661" s="526"/>
      <c r="AL661" s="526"/>
      <c r="AM661" s="526"/>
      <c r="AN661" s="526"/>
      <c r="AO661" s="526"/>
      <c r="AP661" s="526"/>
      <c r="AQ661" s="526"/>
      <c r="AR661" s="526"/>
      <c r="AS661" s="526"/>
      <c r="AT661" s="526"/>
      <c r="AU661" s="526"/>
      <c r="AV661" s="526"/>
      <c r="AW661" s="526"/>
      <c r="AX661" s="526"/>
      <c r="AY661" s="526"/>
      <c r="AZ661" s="526"/>
      <c r="BA661" s="526"/>
      <c r="BB661" s="526"/>
      <c r="BC661" s="526"/>
      <c r="BD661" s="526"/>
      <c r="BE661" s="526"/>
      <c r="BF661" s="526"/>
      <c r="BG661" s="526"/>
    </row>
    <row r="662" spans="1:59" s="830" customFormat="1" ht="17.25" customHeight="1" x14ac:dyDescent="0.25">
      <c r="A662" s="865"/>
      <c r="B662" s="865"/>
      <c r="C662" s="908"/>
      <c r="G662" s="865"/>
      <c r="H662" s="874"/>
      <c r="I662" s="869"/>
      <c r="J662" s="869"/>
      <c r="K662" s="869"/>
      <c r="L662" s="869"/>
      <c r="M662" s="874"/>
      <c r="O662" s="874"/>
      <c r="P662" s="874"/>
      <c r="Q662" s="874"/>
      <c r="R662" s="874"/>
      <c r="S662" s="874"/>
      <c r="T662" s="874"/>
      <c r="W662" s="874"/>
      <c r="X662" s="874"/>
      <c r="Y662" s="874"/>
      <c r="Z662" s="874"/>
      <c r="AA662" s="874"/>
      <c r="AD662" s="526"/>
      <c r="AE662" s="526"/>
      <c r="AF662" s="526"/>
      <c r="AG662" s="526"/>
      <c r="AH662" s="526"/>
      <c r="AI662" s="526"/>
      <c r="AJ662" s="526"/>
      <c r="AK662" s="526"/>
      <c r="AL662" s="526"/>
      <c r="AM662" s="526"/>
      <c r="AN662" s="526"/>
      <c r="AO662" s="526"/>
      <c r="AP662" s="526"/>
      <c r="AQ662" s="526"/>
      <c r="AR662" s="526"/>
      <c r="AS662" s="526"/>
      <c r="AT662" s="526"/>
      <c r="AU662" s="526"/>
      <c r="AV662" s="526"/>
      <c r="AW662" s="526"/>
      <c r="AX662" s="526"/>
      <c r="AY662" s="526"/>
      <c r="AZ662" s="526"/>
      <c r="BA662" s="526"/>
      <c r="BB662" s="526"/>
      <c r="BC662" s="526"/>
      <c r="BD662" s="526"/>
      <c r="BE662" s="526"/>
      <c r="BF662" s="526"/>
      <c r="BG662" s="526"/>
    </row>
    <row r="663" spans="1:59" s="830" customFormat="1" ht="17.25" customHeight="1" x14ac:dyDescent="0.25">
      <c r="A663" s="865"/>
      <c r="B663" s="865"/>
      <c r="C663" s="908"/>
      <c r="G663" s="865"/>
      <c r="H663" s="874"/>
      <c r="I663" s="869"/>
      <c r="J663" s="869"/>
      <c r="K663" s="869"/>
      <c r="L663" s="869"/>
      <c r="M663" s="874"/>
      <c r="O663" s="874"/>
      <c r="P663" s="874"/>
      <c r="Q663" s="874"/>
      <c r="R663" s="874"/>
      <c r="S663" s="874"/>
      <c r="T663" s="874"/>
      <c r="W663" s="874"/>
      <c r="X663" s="874"/>
      <c r="Y663" s="874"/>
      <c r="Z663" s="874"/>
      <c r="AA663" s="874"/>
      <c r="AD663" s="526"/>
      <c r="AE663" s="526"/>
      <c r="AF663" s="526"/>
      <c r="AG663" s="526"/>
      <c r="AH663" s="526"/>
      <c r="AI663" s="526"/>
      <c r="AJ663" s="526"/>
      <c r="AK663" s="526"/>
      <c r="AL663" s="526"/>
      <c r="AM663" s="526"/>
      <c r="AN663" s="526"/>
      <c r="AO663" s="526"/>
      <c r="AP663" s="526"/>
      <c r="AQ663" s="526"/>
      <c r="AR663" s="526"/>
      <c r="AS663" s="526"/>
      <c r="AT663" s="526"/>
      <c r="AU663" s="526"/>
      <c r="AV663" s="526"/>
      <c r="AW663" s="526"/>
      <c r="AX663" s="526"/>
      <c r="AY663" s="526"/>
      <c r="AZ663" s="526"/>
      <c r="BA663" s="526"/>
      <c r="BB663" s="526"/>
      <c r="BC663" s="526"/>
      <c r="BD663" s="526"/>
      <c r="BE663" s="526"/>
      <c r="BF663" s="526"/>
      <c r="BG663" s="526"/>
    </row>
    <row r="664" spans="1:59" s="830" customFormat="1" ht="17.25" customHeight="1" x14ac:dyDescent="0.25">
      <c r="A664" s="865"/>
      <c r="B664" s="865"/>
      <c r="C664" s="908"/>
      <c r="G664" s="865"/>
      <c r="H664" s="874"/>
      <c r="I664" s="869"/>
      <c r="J664" s="869"/>
      <c r="K664" s="869"/>
      <c r="L664" s="869"/>
      <c r="M664" s="874"/>
      <c r="O664" s="874"/>
      <c r="P664" s="874"/>
      <c r="Q664" s="874"/>
      <c r="R664" s="874"/>
      <c r="S664" s="874"/>
      <c r="T664" s="874"/>
      <c r="W664" s="874"/>
      <c r="X664" s="874"/>
      <c r="Y664" s="874"/>
      <c r="Z664" s="874"/>
      <c r="AA664" s="874"/>
      <c r="AD664" s="526"/>
      <c r="AE664" s="526"/>
      <c r="AF664" s="526"/>
      <c r="AG664" s="526"/>
      <c r="AH664" s="526"/>
      <c r="AI664" s="526"/>
      <c r="AJ664" s="526"/>
      <c r="AK664" s="526"/>
      <c r="AL664" s="526"/>
      <c r="AM664" s="526"/>
      <c r="AN664" s="526"/>
      <c r="AO664" s="526"/>
      <c r="AP664" s="526"/>
      <c r="AQ664" s="526"/>
      <c r="AR664" s="526"/>
      <c r="AS664" s="526"/>
      <c r="AT664" s="526"/>
      <c r="AU664" s="526"/>
      <c r="AV664" s="526"/>
      <c r="AW664" s="526"/>
      <c r="AX664" s="526"/>
      <c r="AY664" s="526"/>
      <c r="AZ664" s="526"/>
      <c r="BA664" s="526"/>
      <c r="BB664" s="526"/>
      <c r="BC664" s="526"/>
      <c r="BD664" s="526"/>
      <c r="BE664" s="526"/>
      <c r="BF664" s="526"/>
      <c r="BG664" s="526"/>
    </row>
    <row r="665" spans="1:59" s="830" customFormat="1" ht="17.25" customHeight="1" x14ac:dyDescent="0.25">
      <c r="A665" s="865"/>
      <c r="B665" s="865"/>
      <c r="C665" s="908"/>
      <c r="G665" s="865"/>
      <c r="H665" s="874"/>
      <c r="I665" s="869"/>
      <c r="J665" s="869"/>
      <c r="K665" s="869"/>
      <c r="L665" s="869"/>
      <c r="M665" s="874"/>
      <c r="O665" s="874"/>
      <c r="P665" s="874"/>
      <c r="Q665" s="874"/>
      <c r="R665" s="874"/>
      <c r="S665" s="874"/>
      <c r="T665" s="874"/>
      <c r="W665" s="874"/>
      <c r="X665" s="874"/>
      <c r="Y665" s="874"/>
      <c r="Z665" s="874"/>
      <c r="AA665" s="874"/>
      <c r="AD665" s="526"/>
      <c r="AE665" s="526"/>
      <c r="AF665" s="526"/>
      <c r="AG665" s="526"/>
      <c r="AH665" s="526"/>
      <c r="AI665" s="526"/>
      <c r="AJ665" s="526"/>
      <c r="AK665" s="526"/>
      <c r="AL665" s="526"/>
      <c r="AM665" s="526"/>
      <c r="AN665" s="526"/>
      <c r="AO665" s="526"/>
      <c r="AP665" s="526"/>
      <c r="AQ665" s="526"/>
      <c r="AR665" s="526"/>
      <c r="AS665" s="526"/>
      <c r="AT665" s="526"/>
      <c r="AU665" s="526"/>
      <c r="AV665" s="526"/>
      <c r="AW665" s="526"/>
      <c r="AX665" s="526"/>
      <c r="AY665" s="526"/>
      <c r="AZ665" s="526"/>
      <c r="BA665" s="526"/>
      <c r="BB665" s="526"/>
      <c r="BC665" s="526"/>
      <c r="BD665" s="526"/>
      <c r="BE665" s="526"/>
      <c r="BF665" s="526"/>
      <c r="BG665" s="526"/>
    </row>
    <row r="666" spans="1:59" s="830" customFormat="1" ht="17.25" customHeight="1" x14ac:dyDescent="0.25">
      <c r="A666" s="865"/>
      <c r="B666" s="865"/>
      <c r="C666" s="908"/>
      <c r="G666" s="865"/>
      <c r="H666" s="874"/>
      <c r="I666" s="869"/>
      <c r="J666" s="869"/>
      <c r="K666" s="869"/>
      <c r="L666" s="869"/>
      <c r="M666" s="874"/>
      <c r="O666" s="874"/>
      <c r="P666" s="874"/>
      <c r="Q666" s="874"/>
      <c r="R666" s="874"/>
      <c r="S666" s="874"/>
      <c r="T666" s="874"/>
      <c r="W666" s="874"/>
      <c r="X666" s="874"/>
      <c r="Y666" s="874"/>
      <c r="Z666" s="874"/>
      <c r="AA666" s="874"/>
      <c r="AD666" s="526"/>
      <c r="AE666" s="526"/>
      <c r="AF666" s="526"/>
      <c r="AG666" s="526"/>
      <c r="AH666" s="526"/>
      <c r="AI666" s="526"/>
      <c r="AJ666" s="526"/>
      <c r="AK666" s="526"/>
      <c r="AL666" s="526"/>
      <c r="AM666" s="526"/>
      <c r="AN666" s="526"/>
      <c r="AO666" s="526"/>
      <c r="AP666" s="526"/>
      <c r="AQ666" s="526"/>
      <c r="AR666" s="526"/>
      <c r="AS666" s="526"/>
      <c r="AT666" s="526"/>
      <c r="AU666" s="526"/>
      <c r="AV666" s="526"/>
      <c r="AW666" s="526"/>
      <c r="AX666" s="526"/>
      <c r="AY666" s="526"/>
      <c r="AZ666" s="526"/>
      <c r="BA666" s="526"/>
      <c r="BB666" s="526"/>
      <c r="BC666" s="526"/>
      <c r="BD666" s="526"/>
      <c r="BE666" s="526"/>
      <c r="BF666" s="526"/>
      <c r="BG666" s="526"/>
    </row>
    <row r="667" spans="1:59" s="830" customFormat="1" ht="17.25" customHeight="1" x14ac:dyDescent="0.25">
      <c r="A667" s="865"/>
      <c r="B667" s="865"/>
      <c r="C667" s="908"/>
      <c r="G667" s="865"/>
      <c r="H667" s="874"/>
      <c r="I667" s="869"/>
      <c r="J667" s="869"/>
      <c r="K667" s="869"/>
      <c r="L667" s="869"/>
      <c r="M667" s="874"/>
      <c r="O667" s="874"/>
      <c r="P667" s="874"/>
      <c r="Q667" s="874"/>
      <c r="R667" s="874"/>
      <c r="S667" s="874"/>
      <c r="T667" s="874"/>
      <c r="W667" s="874"/>
      <c r="X667" s="874"/>
      <c r="Y667" s="874"/>
      <c r="Z667" s="874"/>
      <c r="AA667" s="874"/>
      <c r="AD667" s="526"/>
      <c r="AE667" s="526"/>
      <c r="AF667" s="526"/>
      <c r="AG667" s="526"/>
      <c r="AH667" s="526"/>
      <c r="AI667" s="526"/>
      <c r="AJ667" s="526"/>
      <c r="AK667" s="526"/>
      <c r="AL667" s="526"/>
      <c r="AM667" s="526"/>
      <c r="AN667" s="526"/>
      <c r="AO667" s="526"/>
      <c r="AP667" s="526"/>
      <c r="AQ667" s="526"/>
      <c r="AR667" s="526"/>
      <c r="AS667" s="526"/>
      <c r="AT667" s="526"/>
      <c r="AU667" s="526"/>
      <c r="AV667" s="526"/>
      <c r="AW667" s="526"/>
      <c r="AX667" s="526"/>
      <c r="AY667" s="526"/>
      <c r="AZ667" s="526"/>
      <c r="BA667" s="526"/>
      <c r="BB667" s="526"/>
      <c r="BC667" s="526"/>
      <c r="BD667" s="526"/>
      <c r="BE667" s="526"/>
      <c r="BF667" s="526"/>
      <c r="BG667" s="526"/>
    </row>
    <row r="668" spans="1:59" s="830" customFormat="1" ht="17.25" customHeight="1" x14ac:dyDescent="0.25">
      <c r="A668" s="865"/>
      <c r="B668" s="865"/>
      <c r="C668" s="908"/>
      <c r="G668" s="865"/>
      <c r="H668" s="874"/>
      <c r="I668" s="869"/>
      <c r="J668" s="869"/>
      <c r="K668" s="869"/>
      <c r="L668" s="869"/>
      <c r="M668" s="874"/>
      <c r="O668" s="874"/>
      <c r="P668" s="874"/>
      <c r="Q668" s="874"/>
      <c r="R668" s="874"/>
      <c r="S668" s="874"/>
      <c r="T668" s="874"/>
      <c r="W668" s="874"/>
      <c r="X668" s="874"/>
      <c r="Y668" s="874"/>
      <c r="Z668" s="874"/>
      <c r="AA668" s="874"/>
      <c r="AD668" s="526"/>
      <c r="AE668" s="526"/>
      <c r="AF668" s="526"/>
      <c r="AG668" s="526"/>
      <c r="AH668" s="526"/>
      <c r="AI668" s="526"/>
      <c r="AJ668" s="526"/>
      <c r="AK668" s="526"/>
      <c r="AL668" s="526"/>
      <c r="AM668" s="526"/>
      <c r="AN668" s="526"/>
      <c r="AO668" s="526"/>
      <c r="AP668" s="526"/>
      <c r="AQ668" s="526"/>
      <c r="AR668" s="526"/>
      <c r="AS668" s="526"/>
      <c r="AT668" s="526"/>
      <c r="AU668" s="526"/>
      <c r="AV668" s="526"/>
      <c r="AW668" s="526"/>
      <c r="AX668" s="526"/>
      <c r="AY668" s="526"/>
      <c r="AZ668" s="526"/>
      <c r="BA668" s="526"/>
      <c r="BB668" s="526"/>
      <c r="BC668" s="526"/>
      <c r="BD668" s="526"/>
      <c r="BE668" s="526"/>
      <c r="BF668" s="526"/>
      <c r="BG668" s="526"/>
    </row>
    <row r="669" spans="1:59" s="830" customFormat="1" ht="17.25" customHeight="1" x14ac:dyDescent="0.25">
      <c r="A669" s="865"/>
      <c r="B669" s="865"/>
      <c r="C669" s="908"/>
      <c r="G669" s="865"/>
      <c r="H669" s="874"/>
      <c r="I669" s="869"/>
      <c r="J669" s="869"/>
      <c r="K669" s="869"/>
      <c r="L669" s="869"/>
      <c r="M669" s="874"/>
      <c r="O669" s="874"/>
      <c r="P669" s="874"/>
      <c r="Q669" s="874"/>
      <c r="R669" s="874"/>
      <c r="S669" s="874"/>
      <c r="T669" s="874"/>
      <c r="W669" s="874"/>
      <c r="X669" s="874"/>
      <c r="Y669" s="874"/>
      <c r="Z669" s="874"/>
      <c r="AA669" s="874"/>
      <c r="AD669" s="526"/>
      <c r="AE669" s="526"/>
      <c r="AF669" s="526"/>
      <c r="AG669" s="526"/>
      <c r="AH669" s="526"/>
      <c r="AI669" s="526"/>
      <c r="AJ669" s="526"/>
      <c r="AK669" s="526"/>
      <c r="AL669" s="526"/>
      <c r="AM669" s="526"/>
      <c r="AN669" s="526"/>
      <c r="AO669" s="526"/>
      <c r="AP669" s="526"/>
      <c r="AQ669" s="526"/>
      <c r="AR669" s="526"/>
      <c r="AS669" s="526"/>
      <c r="AT669" s="526"/>
      <c r="AU669" s="526"/>
      <c r="AV669" s="526"/>
      <c r="AW669" s="526"/>
      <c r="AX669" s="526"/>
      <c r="AY669" s="526"/>
      <c r="AZ669" s="526"/>
      <c r="BA669" s="526"/>
      <c r="BB669" s="526"/>
      <c r="BC669" s="526"/>
      <c r="BD669" s="526"/>
      <c r="BE669" s="526"/>
      <c r="BF669" s="526"/>
      <c r="BG669" s="526"/>
    </row>
    <row r="670" spans="1:59" s="830" customFormat="1" ht="17.25" customHeight="1" x14ac:dyDescent="0.25">
      <c r="A670" s="865"/>
      <c r="B670" s="865"/>
      <c r="C670" s="908"/>
      <c r="G670" s="865"/>
      <c r="H670" s="874"/>
      <c r="I670" s="869"/>
      <c r="J670" s="869"/>
      <c r="K670" s="869"/>
      <c r="L670" s="869"/>
      <c r="M670" s="874"/>
      <c r="O670" s="874"/>
      <c r="P670" s="874"/>
      <c r="Q670" s="874"/>
      <c r="R670" s="874"/>
      <c r="S670" s="874"/>
      <c r="T670" s="874"/>
      <c r="W670" s="874"/>
      <c r="X670" s="874"/>
      <c r="Y670" s="874"/>
      <c r="Z670" s="874"/>
      <c r="AA670" s="874"/>
      <c r="AD670" s="526"/>
      <c r="AE670" s="526"/>
      <c r="AF670" s="526"/>
      <c r="AG670" s="526"/>
      <c r="AH670" s="526"/>
      <c r="AI670" s="526"/>
      <c r="AJ670" s="526"/>
      <c r="AK670" s="526"/>
      <c r="AL670" s="526"/>
      <c r="AM670" s="526"/>
      <c r="AN670" s="526"/>
      <c r="AO670" s="526"/>
      <c r="AP670" s="526"/>
      <c r="AQ670" s="526"/>
      <c r="AR670" s="526"/>
      <c r="AS670" s="526"/>
      <c r="AT670" s="526"/>
      <c r="AU670" s="526"/>
      <c r="AV670" s="526"/>
      <c r="AW670" s="526"/>
      <c r="AX670" s="526"/>
      <c r="AY670" s="526"/>
      <c r="AZ670" s="526"/>
      <c r="BA670" s="526"/>
      <c r="BB670" s="526"/>
      <c r="BC670" s="526"/>
      <c r="BD670" s="526"/>
      <c r="BE670" s="526"/>
      <c r="BF670" s="526"/>
      <c r="BG670" s="526"/>
    </row>
    <row r="671" spans="1:59" s="830" customFormat="1" ht="17.25" customHeight="1" x14ac:dyDescent="0.25">
      <c r="A671" s="865"/>
      <c r="B671" s="865"/>
      <c r="C671" s="908"/>
      <c r="G671" s="865"/>
      <c r="H671" s="874"/>
      <c r="I671" s="869"/>
      <c r="J671" s="869"/>
      <c r="K671" s="869"/>
      <c r="L671" s="869"/>
      <c r="M671" s="874"/>
      <c r="O671" s="874"/>
      <c r="P671" s="874"/>
      <c r="Q671" s="874"/>
      <c r="R671" s="874"/>
      <c r="S671" s="874"/>
      <c r="T671" s="874"/>
      <c r="W671" s="874"/>
      <c r="X671" s="874"/>
      <c r="Y671" s="874"/>
      <c r="Z671" s="874"/>
      <c r="AA671" s="874"/>
      <c r="AD671" s="526"/>
      <c r="AE671" s="526"/>
      <c r="AF671" s="526"/>
      <c r="AG671" s="526"/>
      <c r="AH671" s="526"/>
      <c r="AI671" s="526"/>
      <c r="AJ671" s="526"/>
      <c r="AK671" s="526"/>
      <c r="AL671" s="526"/>
      <c r="AM671" s="526"/>
      <c r="AN671" s="526"/>
      <c r="AO671" s="526"/>
      <c r="AP671" s="526"/>
      <c r="AQ671" s="526"/>
      <c r="AR671" s="526"/>
      <c r="AS671" s="526"/>
      <c r="AT671" s="526"/>
      <c r="AU671" s="526"/>
      <c r="AV671" s="526"/>
      <c r="AW671" s="526"/>
      <c r="AX671" s="526"/>
      <c r="AY671" s="526"/>
      <c r="AZ671" s="526"/>
      <c r="BA671" s="526"/>
      <c r="BB671" s="526"/>
      <c r="BC671" s="526"/>
      <c r="BD671" s="526"/>
      <c r="BE671" s="526"/>
      <c r="BF671" s="526"/>
      <c r="BG671" s="526"/>
    </row>
    <row r="672" spans="1:59" s="830" customFormat="1" ht="17.25" customHeight="1" x14ac:dyDescent="0.25">
      <c r="A672" s="865"/>
      <c r="B672" s="865"/>
      <c r="C672" s="908"/>
      <c r="G672" s="865"/>
      <c r="H672" s="874"/>
      <c r="I672" s="869"/>
      <c r="J672" s="869"/>
      <c r="K672" s="869"/>
      <c r="L672" s="869"/>
      <c r="M672" s="874"/>
      <c r="O672" s="874"/>
      <c r="P672" s="874"/>
      <c r="Q672" s="874"/>
      <c r="R672" s="874"/>
      <c r="S672" s="874"/>
      <c r="T672" s="874"/>
      <c r="W672" s="874"/>
      <c r="X672" s="874"/>
      <c r="Y672" s="874"/>
      <c r="Z672" s="874"/>
      <c r="AA672" s="874"/>
      <c r="AD672" s="526"/>
      <c r="AE672" s="526"/>
      <c r="AF672" s="526"/>
      <c r="AG672" s="526"/>
      <c r="AH672" s="526"/>
      <c r="AI672" s="526"/>
      <c r="AJ672" s="526"/>
      <c r="AK672" s="526"/>
      <c r="AL672" s="526"/>
      <c r="AM672" s="526"/>
      <c r="AN672" s="526"/>
      <c r="AO672" s="526"/>
      <c r="AP672" s="526"/>
      <c r="AQ672" s="526"/>
      <c r="AR672" s="526"/>
      <c r="AS672" s="526"/>
      <c r="AT672" s="526"/>
      <c r="AU672" s="526"/>
      <c r="AV672" s="526"/>
      <c r="AW672" s="526"/>
      <c r="AX672" s="526"/>
      <c r="AY672" s="526"/>
      <c r="AZ672" s="526"/>
      <c r="BA672" s="526"/>
      <c r="BB672" s="526"/>
      <c r="BC672" s="526"/>
      <c r="BD672" s="526"/>
      <c r="BE672" s="526"/>
      <c r="BF672" s="526"/>
      <c r="BG672" s="526"/>
    </row>
    <row r="673" spans="1:59" s="830" customFormat="1" ht="17.25" customHeight="1" x14ac:dyDescent="0.25">
      <c r="A673" s="865"/>
      <c r="B673" s="865"/>
      <c r="C673" s="908"/>
      <c r="G673" s="865"/>
      <c r="H673" s="874"/>
      <c r="I673" s="869"/>
      <c r="J673" s="869"/>
      <c r="K673" s="869"/>
      <c r="L673" s="869"/>
      <c r="M673" s="874"/>
      <c r="O673" s="874"/>
      <c r="P673" s="874"/>
      <c r="Q673" s="874"/>
      <c r="R673" s="874"/>
      <c r="S673" s="874"/>
      <c r="T673" s="874"/>
      <c r="W673" s="874"/>
      <c r="X673" s="874"/>
      <c r="Y673" s="874"/>
      <c r="Z673" s="874"/>
      <c r="AA673" s="874"/>
      <c r="AD673" s="526"/>
      <c r="AE673" s="526"/>
      <c r="AF673" s="526"/>
      <c r="AG673" s="526"/>
      <c r="AH673" s="526"/>
      <c r="AI673" s="526"/>
      <c r="AJ673" s="526"/>
      <c r="AK673" s="526"/>
      <c r="AL673" s="526"/>
      <c r="AM673" s="526"/>
      <c r="AN673" s="526"/>
      <c r="AO673" s="526"/>
      <c r="AP673" s="526"/>
      <c r="AQ673" s="526"/>
      <c r="AR673" s="526"/>
      <c r="AS673" s="526"/>
      <c r="AT673" s="526"/>
      <c r="AU673" s="526"/>
      <c r="AV673" s="526"/>
      <c r="AW673" s="526"/>
      <c r="AX673" s="526"/>
      <c r="AY673" s="526"/>
      <c r="AZ673" s="526"/>
      <c r="BA673" s="526"/>
      <c r="BB673" s="526"/>
      <c r="BC673" s="526"/>
      <c r="BD673" s="526"/>
      <c r="BE673" s="526"/>
      <c r="BF673" s="526"/>
      <c r="BG673" s="526"/>
    </row>
    <row r="674" spans="1:59" s="830" customFormat="1" ht="17.25" customHeight="1" x14ac:dyDescent="0.25">
      <c r="A674" s="865"/>
      <c r="B674" s="865"/>
      <c r="C674" s="908"/>
      <c r="G674" s="865"/>
      <c r="H674" s="874"/>
      <c r="I674" s="869"/>
      <c r="J674" s="869"/>
      <c r="K674" s="869"/>
      <c r="L674" s="869"/>
      <c r="M674" s="874"/>
      <c r="O674" s="874"/>
      <c r="P674" s="874"/>
      <c r="Q674" s="874"/>
      <c r="R674" s="874"/>
      <c r="S674" s="874"/>
      <c r="T674" s="874"/>
      <c r="W674" s="874"/>
      <c r="X674" s="874"/>
      <c r="Y674" s="874"/>
      <c r="Z674" s="874"/>
      <c r="AA674" s="874"/>
      <c r="AD674" s="526"/>
      <c r="AE674" s="526"/>
      <c r="AF674" s="526"/>
      <c r="AG674" s="526"/>
      <c r="AH674" s="526"/>
      <c r="AI674" s="526"/>
      <c r="AJ674" s="526"/>
      <c r="AK674" s="526"/>
      <c r="AL674" s="526"/>
      <c r="AM674" s="526"/>
      <c r="AN674" s="526"/>
      <c r="AO674" s="526"/>
      <c r="AP674" s="526"/>
      <c r="AQ674" s="526"/>
      <c r="AR674" s="526"/>
      <c r="AS674" s="526"/>
      <c r="AT674" s="526"/>
      <c r="AU674" s="526"/>
      <c r="AV674" s="526"/>
      <c r="AW674" s="526"/>
      <c r="AX674" s="526"/>
      <c r="AY674" s="526"/>
      <c r="AZ674" s="526"/>
      <c r="BA674" s="526"/>
      <c r="BB674" s="526"/>
      <c r="BC674" s="526"/>
      <c r="BD674" s="526"/>
      <c r="BE674" s="526"/>
      <c r="BF674" s="526"/>
      <c r="BG674" s="526"/>
    </row>
    <row r="675" spans="1:59" s="830" customFormat="1" ht="17.25" customHeight="1" x14ac:dyDescent="0.25">
      <c r="A675" s="865"/>
      <c r="B675" s="865"/>
      <c r="C675" s="908"/>
      <c r="G675" s="865"/>
      <c r="H675" s="874"/>
      <c r="I675" s="869"/>
      <c r="J675" s="869"/>
      <c r="K675" s="869"/>
      <c r="L675" s="869"/>
      <c r="M675" s="874"/>
      <c r="O675" s="874"/>
      <c r="P675" s="874"/>
      <c r="Q675" s="874"/>
      <c r="R675" s="874"/>
      <c r="S675" s="874"/>
      <c r="T675" s="874"/>
      <c r="W675" s="874"/>
      <c r="X675" s="874"/>
      <c r="Y675" s="874"/>
      <c r="Z675" s="874"/>
      <c r="AA675" s="874"/>
      <c r="AD675" s="526"/>
      <c r="AE675" s="526"/>
      <c r="AF675" s="526"/>
      <c r="AG675" s="526"/>
      <c r="AH675" s="526"/>
      <c r="AI675" s="526"/>
      <c r="AJ675" s="526"/>
      <c r="AK675" s="526"/>
      <c r="AL675" s="526"/>
      <c r="AM675" s="526"/>
      <c r="AN675" s="526"/>
      <c r="AO675" s="526"/>
      <c r="AP675" s="526"/>
      <c r="AQ675" s="526"/>
      <c r="AR675" s="526"/>
      <c r="AS675" s="526"/>
      <c r="AT675" s="526"/>
      <c r="AU675" s="526"/>
      <c r="AV675" s="526"/>
      <c r="AW675" s="526"/>
      <c r="AX675" s="526"/>
      <c r="AY675" s="526"/>
      <c r="AZ675" s="526"/>
      <c r="BA675" s="526"/>
      <c r="BB675" s="526"/>
      <c r="BC675" s="526"/>
      <c r="BD675" s="526"/>
      <c r="BE675" s="526"/>
      <c r="BF675" s="526"/>
      <c r="BG675" s="526"/>
    </row>
    <row r="676" spans="1:59" s="830" customFormat="1" ht="17.25" customHeight="1" x14ac:dyDescent="0.25">
      <c r="A676" s="865"/>
      <c r="B676" s="865"/>
      <c r="C676" s="908"/>
      <c r="G676" s="865"/>
      <c r="H676" s="874"/>
      <c r="I676" s="869"/>
      <c r="J676" s="869"/>
      <c r="K676" s="869"/>
      <c r="L676" s="869"/>
      <c r="M676" s="874"/>
      <c r="O676" s="874"/>
      <c r="P676" s="874"/>
      <c r="Q676" s="874"/>
      <c r="R676" s="874"/>
      <c r="S676" s="874"/>
      <c r="T676" s="874"/>
      <c r="W676" s="874"/>
      <c r="X676" s="874"/>
      <c r="Y676" s="874"/>
      <c r="Z676" s="874"/>
      <c r="AA676" s="874"/>
      <c r="AD676" s="526"/>
      <c r="AE676" s="526"/>
      <c r="AF676" s="526"/>
      <c r="AG676" s="526"/>
      <c r="AH676" s="526"/>
      <c r="AI676" s="526"/>
      <c r="AJ676" s="526"/>
      <c r="AK676" s="526"/>
      <c r="AL676" s="526"/>
      <c r="AM676" s="526"/>
      <c r="AN676" s="526"/>
      <c r="AO676" s="526"/>
      <c r="AP676" s="526"/>
      <c r="AQ676" s="526"/>
      <c r="AR676" s="526"/>
      <c r="AS676" s="526"/>
      <c r="AT676" s="526"/>
      <c r="AU676" s="526"/>
      <c r="AV676" s="526"/>
      <c r="AW676" s="526"/>
      <c r="AX676" s="526"/>
      <c r="AY676" s="526"/>
      <c r="AZ676" s="526"/>
      <c r="BA676" s="526"/>
      <c r="BB676" s="526"/>
      <c r="BC676" s="526"/>
      <c r="BD676" s="526"/>
      <c r="BE676" s="526"/>
      <c r="BF676" s="526"/>
      <c r="BG676" s="526"/>
    </row>
    <row r="677" spans="1:59" s="830" customFormat="1" ht="17.25" customHeight="1" x14ac:dyDescent="0.25">
      <c r="A677" s="865"/>
      <c r="B677" s="865"/>
      <c r="C677" s="908"/>
      <c r="G677" s="865"/>
      <c r="H677" s="874"/>
      <c r="I677" s="869"/>
      <c r="J677" s="869"/>
      <c r="K677" s="869"/>
      <c r="L677" s="869"/>
      <c r="M677" s="874"/>
      <c r="O677" s="874"/>
      <c r="P677" s="874"/>
      <c r="Q677" s="874"/>
      <c r="R677" s="874"/>
      <c r="S677" s="874"/>
      <c r="T677" s="874"/>
      <c r="W677" s="874"/>
      <c r="X677" s="874"/>
      <c r="Y677" s="874"/>
      <c r="Z677" s="874"/>
      <c r="AA677" s="874"/>
      <c r="AD677" s="526"/>
      <c r="AE677" s="526"/>
      <c r="AF677" s="526"/>
      <c r="AG677" s="526"/>
      <c r="AH677" s="526"/>
      <c r="AI677" s="526"/>
      <c r="AJ677" s="526"/>
      <c r="AK677" s="526"/>
      <c r="AL677" s="526"/>
      <c r="AM677" s="526"/>
      <c r="AN677" s="526"/>
      <c r="AO677" s="526"/>
      <c r="AP677" s="526"/>
      <c r="AQ677" s="526"/>
      <c r="AR677" s="526"/>
      <c r="AS677" s="526"/>
      <c r="AT677" s="526"/>
      <c r="AU677" s="526"/>
      <c r="AV677" s="526"/>
      <c r="AW677" s="526"/>
      <c r="AX677" s="526"/>
      <c r="AY677" s="526"/>
      <c r="AZ677" s="526"/>
      <c r="BA677" s="526"/>
      <c r="BB677" s="526"/>
      <c r="BC677" s="526"/>
      <c r="BD677" s="526"/>
      <c r="BE677" s="526"/>
      <c r="BF677" s="526"/>
      <c r="BG677" s="526"/>
    </row>
    <row r="678" spans="1:59" s="830" customFormat="1" ht="17.25" customHeight="1" x14ac:dyDescent="0.25">
      <c r="A678" s="865"/>
      <c r="B678" s="865"/>
      <c r="C678" s="908"/>
      <c r="G678" s="865"/>
      <c r="H678" s="874"/>
      <c r="I678" s="869"/>
      <c r="J678" s="869"/>
      <c r="K678" s="869"/>
      <c r="L678" s="869"/>
      <c r="M678" s="874"/>
      <c r="O678" s="874"/>
      <c r="P678" s="874"/>
      <c r="Q678" s="874"/>
      <c r="R678" s="874"/>
      <c r="S678" s="874"/>
      <c r="T678" s="874"/>
      <c r="W678" s="874"/>
      <c r="X678" s="874"/>
      <c r="Y678" s="874"/>
      <c r="Z678" s="874"/>
      <c r="AA678" s="874"/>
      <c r="AD678" s="526"/>
      <c r="AE678" s="526"/>
      <c r="AF678" s="526"/>
      <c r="AG678" s="526"/>
      <c r="AH678" s="526"/>
      <c r="AI678" s="526"/>
      <c r="AJ678" s="526"/>
      <c r="AK678" s="526"/>
      <c r="AL678" s="526"/>
      <c r="AM678" s="526"/>
      <c r="AN678" s="526"/>
      <c r="AO678" s="526"/>
      <c r="AP678" s="526"/>
      <c r="AQ678" s="526"/>
      <c r="AR678" s="526"/>
      <c r="AS678" s="526"/>
      <c r="AT678" s="526"/>
      <c r="AU678" s="526"/>
      <c r="AV678" s="526"/>
      <c r="AW678" s="526"/>
      <c r="AX678" s="526"/>
      <c r="AY678" s="526"/>
      <c r="AZ678" s="526"/>
      <c r="BA678" s="526"/>
      <c r="BB678" s="526"/>
      <c r="BC678" s="526"/>
      <c r="BD678" s="526"/>
      <c r="BE678" s="526"/>
      <c r="BF678" s="526"/>
      <c r="BG678" s="526"/>
    </row>
    <row r="679" spans="1:59" s="830" customFormat="1" ht="17.25" customHeight="1" x14ac:dyDescent="0.25">
      <c r="A679" s="865"/>
      <c r="B679" s="865"/>
      <c r="C679" s="908"/>
      <c r="G679" s="865"/>
      <c r="H679" s="874"/>
      <c r="I679" s="869"/>
      <c r="J679" s="869"/>
      <c r="K679" s="869"/>
      <c r="L679" s="869"/>
      <c r="M679" s="874"/>
      <c r="O679" s="874"/>
      <c r="P679" s="874"/>
      <c r="Q679" s="874"/>
      <c r="R679" s="874"/>
      <c r="S679" s="874"/>
      <c r="T679" s="874"/>
      <c r="W679" s="874"/>
      <c r="X679" s="874"/>
      <c r="Y679" s="874"/>
      <c r="Z679" s="874"/>
      <c r="AA679" s="874"/>
      <c r="AD679" s="526"/>
      <c r="AE679" s="526"/>
      <c r="AF679" s="526"/>
      <c r="AG679" s="526"/>
      <c r="AH679" s="526"/>
      <c r="AI679" s="526"/>
      <c r="AJ679" s="526"/>
      <c r="AK679" s="526"/>
      <c r="AL679" s="526"/>
      <c r="AM679" s="526"/>
      <c r="AN679" s="526"/>
      <c r="AO679" s="526"/>
      <c r="AP679" s="526"/>
      <c r="AQ679" s="526"/>
      <c r="AR679" s="526"/>
      <c r="AS679" s="526"/>
      <c r="AT679" s="526"/>
      <c r="AU679" s="526"/>
      <c r="AV679" s="526"/>
      <c r="AW679" s="526"/>
      <c r="AX679" s="526"/>
      <c r="AY679" s="526"/>
      <c r="AZ679" s="526"/>
      <c r="BA679" s="526"/>
      <c r="BB679" s="526"/>
      <c r="BC679" s="526"/>
      <c r="BD679" s="526"/>
      <c r="BE679" s="526"/>
      <c r="BF679" s="526"/>
      <c r="BG679" s="526"/>
    </row>
    <row r="680" spans="1:59" s="830" customFormat="1" ht="17.25" customHeight="1" x14ac:dyDescent="0.25">
      <c r="A680" s="865"/>
      <c r="B680" s="865"/>
      <c r="C680" s="908"/>
      <c r="G680" s="865"/>
      <c r="H680" s="874"/>
      <c r="I680" s="869"/>
      <c r="J680" s="869"/>
      <c r="K680" s="869"/>
      <c r="L680" s="869"/>
      <c r="M680" s="874"/>
      <c r="O680" s="874"/>
      <c r="P680" s="874"/>
      <c r="Q680" s="874"/>
      <c r="R680" s="874"/>
      <c r="S680" s="874"/>
      <c r="T680" s="874"/>
      <c r="W680" s="874"/>
      <c r="X680" s="874"/>
      <c r="Y680" s="874"/>
      <c r="Z680" s="874"/>
      <c r="AA680" s="874"/>
      <c r="AD680" s="526"/>
      <c r="AE680" s="526"/>
      <c r="AF680" s="526"/>
      <c r="AG680" s="526"/>
      <c r="AH680" s="526"/>
      <c r="AI680" s="526"/>
      <c r="AJ680" s="526"/>
      <c r="AK680" s="526"/>
      <c r="AL680" s="526"/>
      <c r="AM680" s="526"/>
      <c r="AN680" s="526"/>
      <c r="AO680" s="526"/>
      <c r="AP680" s="526"/>
      <c r="AQ680" s="526"/>
      <c r="AR680" s="526"/>
      <c r="AS680" s="526"/>
      <c r="AT680" s="526"/>
      <c r="AU680" s="526"/>
      <c r="AV680" s="526"/>
      <c r="AW680" s="526"/>
      <c r="AX680" s="526"/>
      <c r="AY680" s="526"/>
      <c r="AZ680" s="526"/>
      <c r="BA680" s="526"/>
      <c r="BB680" s="526"/>
      <c r="BC680" s="526"/>
      <c r="BD680" s="526"/>
      <c r="BE680" s="526"/>
      <c r="BF680" s="526"/>
      <c r="BG680" s="526"/>
    </row>
    <row r="681" spans="1:59" s="830" customFormat="1" ht="17.25" customHeight="1" x14ac:dyDescent="0.25">
      <c r="A681" s="865"/>
      <c r="B681" s="865"/>
      <c r="C681" s="908"/>
      <c r="G681" s="865"/>
      <c r="H681" s="874"/>
      <c r="I681" s="869"/>
      <c r="J681" s="869"/>
      <c r="K681" s="869"/>
      <c r="L681" s="869"/>
      <c r="M681" s="874"/>
      <c r="O681" s="874"/>
      <c r="P681" s="874"/>
      <c r="Q681" s="874"/>
      <c r="R681" s="874"/>
      <c r="S681" s="874"/>
      <c r="T681" s="874"/>
      <c r="W681" s="874"/>
      <c r="X681" s="874"/>
      <c r="Y681" s="874"/>
      <c r="Z681" s="874"/>
      <c r="AA681" s="874"/>
      <c r="AD681" s="526"/>
      <c r="AE681" s="526"/>
      <c r="AF681" s="526"/>
      <c r="AG681" s="526"/>
      <c r="AH681" s="526"/>
      <c r="AI681" s="526"/>
      <c r="AJ681" s="526"/>
      <c r="AK681" s="526"/>
      <c r="AL681" s="526"/>
      <c r="AM681" s="526"/>
      <c r="AN681" s="526"/>
      <c r="AO681" s="526"/>
      <c r="AP681" s="526"/>
      <c r="AQ681" s="526"/>
      <c r="AR681" s="526"/>
      <c r="AS681" s="526"/>
      <c r="AT681" s="526"/>
      <c r="AU681" s="526"/>
      <c r="AV681" s="526"/>
      <c r="AW681" s="526"/>
      <c r="AX681" s="526"/>
      <c r="AY681" s="526"/>
      <c r="AZ681" s="526"/>
      <c r="BA681" s="526"/>
      <c r="BB681" s="526"/>
      <c r="BC681" s="526"/>
      <c r="BD681" s="526"/>
      <c r="BE681" s="526"/>
      <c r="BF681" s="526"/>
      <c r="BG681" s="526"/>
    </row>
    <row r="682" spans="1:59" s="830" customFormat="1" ht="17.25" customHeight="1" x14ac:dyDescent="0.25">
      <c r="A682" s="865"/>
      <c r="B682" s="865"/>
      <c r="C682" s="908"/>
      <c r="G682" s="865"/>
      <c r="H682" s="874"/>
      <c r="I682" s="869"/>
      <c r="J682" s="869"/>
      <c r="K682" s="869"/>
      <c r="L682" s="869"/>
      <c r="M682" s="874"/>
      <c r="O682" s="874"/>
      <c r="P682" s="874"/>
      <c r="Q682" s="874"/>
      <c r="R682" s="874"/>
      <c r="S682" s="874"/>
      <c r="T682" s="874"/>
      <c r="W682" s="874"/>
      <c r="X682" s="874"/>
      <c r="Y682" s="874"/>
      <c r="Z682" s="874"/>
      <c r="AA682" s="874"/>
      <c r="AD682" s="526"/>
      <c r="AE682" s="526"/>
      <c r="AF682" s="526"/>
      <c r="AG682" s="526"/>
      <c r="AH682" s="526"/>
      <c r="AI682" s="526"/>
      <c r="AJ682" s="526"/>
      <c r="AK682" s="526"/>
      <c r="AL682" s="526"/>
      <c r="AM682" s="526"/>
      <c r="AN682" s="526"/>
      <c r="AO682" s="526"/>
      <c r="AP682" s="526"/>
      <c r="AQ682" s="526"/>
      <c r="AR682" s="526"/>
      <c r="AS682" s="526"/>
      <c r="AT682" s="526"/>
      <c r="AU682" s="526"/>
      <c r="AV682" s="526"/>
      <c r="AW682" s="526"/>
      <c r="AX682" s="526"/>
      <c r="AY682" s="526"/>
      <c r="AZ682" s="526"/>
      <c r="BA682" s="526"/>
      <c r="BB682" s="526"/>
      <c r="BC682" s="526"/>
      <c r="BD682" s="526"/>
      <c r="BE682" s="526"/>
      <c r="BF682" s="526"/>
      <c r="BG682" s="526"/>
    </row>
    <row r="683" spans="1:59" s="830" customFormat="1" ht="17.25" customHeight="1" x14ac:dyDescent="0.25">
      <c r="A683" s="865"/>
      <c r="B683" s="865"/>
      <c r="C683" s="908"/>
      <c r="G683" s="865"/>
      <c r="H683" s="874"/>
      <c r="I683" s="869"/>
      <c r="J683" s="869"/>
      <c r="K683" s="869"/>
      <c r="L683" s="869"/>
      <c r="M683" s="874"/>
      <c r="O683" s="874"/>
      <c r="P683" s="874"/>
      <c r="Q683" s="874"/>
      <c r="R683" s="874"/>
      <c r="S683" s="874"/>
      <c r="T683" s="874"/>
      <c r="W683" s="874"/>
      <c r="X683" s="874"/>
      <c r="Y683" s="874"/>
      <c r="Z683" s="874"/>
      <c r="AA683" s="874"/>
      <c r="AD683" s="526"/>
      <c r="AE683" s="526"/>
      <c r="AF683" s="526"/>
      <c r="AG683" s="526"/>
      <c r="AH683" s="526"/>
      <c r="AI683" s="526"/>
      <c r="AJ683" s="526"/>
      <c r="AK683" s="526"/>
      <c r="AL683" s="526"/>
      <c r="AM683" s="526"/>
      <c r="AN683" s="526"/>
      <c r="AO683" s="526"/>
      <c r="AP683" s="526"/>
      <c r="AQ683" s="526"/>
      <c r="AR683" s="526"/>
      <c r="AS683" s="526"/>
      <c r="AT683" s="526"/>
      <c r="AU683" s="526"/>
      <c r="AV683" s="526"/>
      <c r="AW683" s="526"/>
      <c r="AX683" s="526"/>
      <c r="AY683" s="526"/>
      <c r="AZ683" s="526"/>
      <c r="BA683" s="526"/>
      <c r="BB683" s="526"/>
      <c r="BC683" s="526"/>
      <c r="BD683" s="526"/>
      <c r="BE683" s="526"/>
      <c r="BF683" s="526"/>
      <c r="BG683" s="526"/>
    </row>
    <row r="684" spans="1:59" s="830" customFormat="1" ht="17.25" customHeight="1" x14ac:dyDescent="0.25">
      <c r="A684" s="865"/>
      <c r="B684" s="865"/>
      <c r="C684" s="908"/>
      <c r="G684" s="865"/>
      <c r="H684" s="874"/>
      <c r="I684" s="869"/>
      <c r="J684" s="869"/>
      <c r="K684" s="869"/>
      <c r="L684" s="869"/>
      <c r="M684" s="874"/>
      <c r="O684" s="874"/>
      <c r="P684" s="874"/>
      <c r="Q684" s="874"/>
      <c r="R684" s="874"/>
      <c r="S684" s="874"/>
      <c r="T684" s="874"/>
      <c r="W684" s="874"/>
      <c r="X684" s="874"/>
      <c r="Y684" s="874"/>
      <c r="Z684" s="874"/>
      <c r="AA684" s="874"/>
      <c r="AD684" s="526"/>
      <c r="AE684" s="526"/>
      <c r="AF684" s="526"/>
      <c r="AG684" s="526"/>
      <c r="AH684" s="526"/>
      <c r="AI684" s="526"/>
      <c r="AJ684" s="526"/>
      <c r="AK684" s="526"/>
      <c r="AL684" s="526"/>
      <c r="AM684" s="526"/>
      <c r="AN684" s="526"/>
      <c r="AO684" s="526"/>
      <c r="AP684" s="526"/>
      <c r="AQ684" s="526"/>
      <c r="AR684" s="526"/>
      <c r="AS684" s="526"/>
      <c r="AT684" s="526"/>
      <c r="AU684" s="526"/>
      <c r="AV684" s="526"/>
      <c r="AW684" s="526"/>
      <c r="AX684" s="526"/>
      <c r="AY684" s="526"/>
      <c r="AZ684" s="526"/>
      <c r="BA684" s="526"/>
      <c r="BB684" s="526"/>
      <c r="BC684" s="526"/>
      <c r="BD684" s="526"/>
      <c r="BE684" s="526"/>
      <c r="BF684" s="526"/>
      <c r="BG684" s="526"/>
    </row>
    <row r="685" spans="1:59" s="830" customFormat="1" ht="17.25" customHeight="1" x14ac:dyDescent="0.25">
      <c r="A685" s="865"/>
      <c r="B685" s="865"/>
      <c r="C685" s="908"/>
      <c r="G685" s="865"/>
      <c r="H685" s="874"/>
      <c r="I685" s="869"/>
      <c r="J685" s="869"/>
      <c r="K685" s="869"/>
      <c r="L685" s="869"/>
      <c r="M685" s="874"/>
      <c r="O685" s="874"/>
      <c r="P685" s="874"/>
      <c r="Q685" s="874"/>
      <c r="R685" s="874"/>
      <c r="S685" s="874"/>
      <c r="T685" s="874"/>
      <c r="W685" s="874"/>
      <c r="X685" s="874"/>
      <c r="Y685" s="874"/>
      <c r="Z685" s="874"/>
      <c r="AA685" s="874"/>
      <c r="AD685" s="526"/>
      <c r="AE685" s="526"/>
      <c r="AF685" s="526"/>
      <c r="AG685" s="526"/>
      <c r="AH685" s="526"/>
      <c r="AI685" s="526"/>
      <c r="AJ685" s="526"/>
      <c r="AK685" s="526"/>
      <c r="AL685" s="526"/>
      <c r="AM685" s="526"/>
      <c r="AN685" s="526"/>
      <c r="AO685" s="526"/>
      <c r="AP685" s="526"/>
      <c r="AQ685" s="526"/>
      <c r="AR685" s="526"/>
      <c r="AS685" s="526"/>
      <c r="AT685" s="526"/>
      <c r="AU685" s="526"/>
      <c r="AV685" s="526"/>
      <c r="AW685" s="526"/>
      <c r="AX685" s="526"/>
      <c r="AY685" s="526"/>
      <c r="AZ685" s="526"/>
      <c r="BA685" s="526"/>
      <c r="BB685" s="526"/>
      <c r="BC685" s="526"/>
      <c r="BD685" s="526"/>
      <c r="BE685" s="526"/>
      <c r="BF685" s="526"/>
      <c r="BG685" s="526"/>
    </row>
    <row r="686" spans="1:59" s="830" customFormat="1" ht="17.25" customHeight="1" x14ac:dyDescent="0.25">
      <c r="A686" s="865"/>
      <c r="B686" s="865"/>
      <c r="C686" s="908"/>
      <c r="G686" s="865"/>
      <c r="H686" s="874"/>
      <c r="I686" s="869"/>
      <c r="J686" s="869"/>
      <c r="K686" s="869"/>
      <c r="L686" s="869"/>
      <c r="M686" s="874"/>
      <c r="O686" s="874"/>
      <c r="P686" s="874"/>
      <c r="Q686" s="874"/>
      <c r="R686" s="874"/>
      <c r="S686" s="874"/>
      <c r="T686" s="874"/>
      <c r="W686" s="874"/>
      <c r="X686" s="874"/>
      <c r="Y686" s="874"/>
      <c r="Z686" s="874"/>
      <c r="AA686" s="874"/>
      <c r="AD686" s="526"/>
      <c r="AE686" s="526"/>
      <c r="AF686" s="526"/>
      <c r="AG686" s="526"/>
      <c r="AH686" s="526"/>
      <c r="AI686" s="526"/>
      <c r="AJ686" s="526"/>
      <c r="AK686" s="526"/>
      <c r="AL686" s="526"/>
      <c r="AM686" s="526"/>
      <c r="AN686" s="526"/>
      <c r="AO686" s="526"/>
      <c r="AP686" s="526"/>
      <c r="AQ686" s="526"/>
      <c r="AR686" s="526"/>
      <c r="AS686" s="526"/>
      <c r="AT686" s="526"/>
      <c r="AU686" s="526"/>
      <c r="AV686" s="526"/>
      <c r="AW686" s="526"/>
      <c r="AX686" s="526"/>
      <c r="AY686" s="526"/>
      <c r="AZ686" s="526"/>
      <c r="BA686" s="526"/>
      <c r="BB686" s="526"/>
      <c r="BC686" s="526"/>
      <c r="BD686" s="526"/>
      <c r="BE686" s="526"/>
      <c r="BF686" s="526"/>
      <c r="BG686" s="526"/>
    </row>
    <row r="687" spans="1:59" s="830" customFormat="1" ht="17.25" customHeight="1" x14ac:dyDescent="0.25">
      <c r="A687" s="865"/>
      <c r="B687" s="865"/>
      <c r="C687" s="908"/>
      <c r="G687" s="865"/>
      <c r="H687" s="874"/>
      <c r="I687" s="869"/>
      <c r="J687" s="869"/>
      <c r="K687" s="869"/>
      <c r="L687" s="869"/>
      <c r="M687" s="874"/>
      <c r="O687" s="874"/>
      <c r="P687" s="874"/>
      <c r="Q687" s="874"/>
      <c r="R687" s="874"/>
      <c r="S687" s="874"/>
      <c r="T687" s="874"/>
      <c r="W687" s="874"/>
      <c r="X687" s="874"/>
      <c r="Y687" s="874"/>
      <c r="Z687" s="874"/>
      <c r="AA687" s="874"/>
      <c r="AD687" s="526"/>
      <c r="AE687" s="526"/>
      <c r="AF687" s="526"/>
      <c r="AG687" s="526"/>
      <c r="AH687" s="526"/>
      <c r="AI687" s="526"/>
      <c r="AJ687" s="526"/>
      <c r="AK687" s="526"/>
      <c r="AL687" s="526"/>
      <c r="AM687" s="526"/>
      <c r="AN687" s="526"/>
      <c r="AO687" s="526"/>
      <c r="AP687" s="526"/>
      <c r="AQ687" s="526"/>
      <c r="AR687" s="526"/>
      <c r="AS687" s="526"/>
      <c r="AT687" s="526"/>
      <c r="AU687" s="526"/>
      <c r="AV687" s="526"/>
      <c r="AW687" s="526"/>
      <c r="AX687" s="526"/>
      <c r="AY687" s="526"/>
      <c r="AZ687" s="526"/>
      <c r="BA687" s="526"/>
      <c r="BB687" s="526"/>
      <c r="BC687" s="526"/>
      <c r="BD687" s="526"/>
      <c r="BE687" s="526"/>
      <c r="BF687" s="526"/>
      <c r="BG687" s="526"/>
    </row>
    <row r="688" spans="1:59" s="830" customFormat="1" ht="17.25" customHeight="1" x14ac:dyDescent="0.25">
      <c r="A688" s="865"/>
      <c r="B688" s="865"/>
      <c r="C688" s="908"/>
      <c r="G688" s="865"/>
      <c r="H688" s="874"/>
      <c r="I688" s="869"/>
      <c r="J688" s="869"/>
      <c r="K688" s="869"/>
      <c r="L688" s="869"/>
      <c r="M688" s="874"/>
      <c r="O688" s="874"/>
      <c r="P688" s="874"/>
      <c r="Q688" s="874"/>
      <c r="R688" s="874"/>
      <c r="S688" s="874"/>
      <c r="T688" s="874"/>
      <c r="W688" s="874"/>
      <c r="X688" s="874"/>
      <c r="Y688" s="874"/>
      <c r="Z688" s="874"/>
      <c r="AA688" s="874"/>
      <c r="AD688" s="526"/>
      <c r="AE688" s="526"/>
      <c r="AF688" s="526"/>
      <c r="AG688" s="526"/>
      <c r="AH688" s="526"/>
      <c r="AI688" s="526"/>
      <c r="AJ688" s="526"/>
      <c r="AK688" s="526"/>
      <c r="AL688" s="526"/>
      <c r="AM688" s="526"/>
      <c r="AN688" s="526"/>
      <c r="AO688" s="526"/>
      <c r="AP688" s="526"/>
      <c r="AQ688" s="526"/>
      <c r="AR688" s="526"/>
      <c r="AS688" s="526"/>
      <c r="AT688" s="526"/>
      <c r="AU688" s="526"/>
      <c r="AV688" s="526"/>
      <c r="AW688" s="526"/>
      <c r="AX688" s="526"/>
      <c r="AY688" s="526"/>
      <c r="AZ688" s="526"/>
      <c r="BA688" s="526"/>
      <c r="BB688" s="526"/>
      <c r="BC688" s="526"/>
      <c r="BD688" s="526"/>
      <c r="BE688" s="526"/>
      <c r="BF688" s="526"/>
      <c r="BG688" s="526"/>
    </row>
    <row r="689" spans="1:59" s="830" customFormat="1" ht="17.25" customHeight="1" x14ac:dyDescent="0.25">
      <c r="A689" s="865"/>
      <c r="B689" s="865"/>
      <c r="C689" s="908"/>
      <c r="G689" s="865"/>
      <c r="H689" s="874"/>
      <c r="I689" s="869"/>
      <c r="J689" s="869"/>
      <c r="K689" s="869"/>
      <c r="L689" s="869"/>
      <c r="M689" s="874"/>
      <c r="O689" s="874"/>
      <c r="P689" s="874"/>
      <c r="Q689" s="874"/>
      <c r="R689" s="874"/>
      <c r="S689" s="874"/>
      <c r="T689" s="874"/>
      <c r="W689" s="874"/>
      <c r="X689" s="874"/>
      <c r="Y689" s="874"/>
      <c r="Z689" s="874"/>
      <c r="AA689" s="874"/>
      <c r="AD689" s="526"/>
      <c r="AE689" s="526"/>
      <c r="AF689" s="526"/>
      <c r="AG689" s="526"/>
      <c r="AH689" s="526"/>
      <c r="AI689" s="526"/>
      <c r="AJ689" s="526"/>
      <c r="AK689" s="526"/>
      <c r="AL689" s="526"/>
      <c r="AM689" s="526"/>
      <c r="AN689" s="526"/>
      <c r="AO689" s="526"/>
      <c r="AP689" s="526"/>
      <c r="AQ689" s="526"/>
      <c r="AR689" s="526"/>
      <c r="AS689" s="526"/>
      <c r="AT689" s="526"/>
      <c r="AU689" s="526"/>
      <c r="AV689" s="526"/>
      <c r="AW689" s="526"/>
      <c r="AX689" s="526"/>
      <c r="AY689" s="526"/>
      <c r="AZ689" s="526"/>
      <c r="BA689" s="526"/>
      <c r="BB689" s="526"/>
      <c r="BC689" s="526"/>
      <c r="BD689" s="526"/>
      <c r="BE689" s="526"/>
      <c r="BF689" s="526"/>
      <c r="BG689" s="526"/>
    </row>
    <row r="690" spans="1:59" s="830" customFormat="1" ht="17.25" customHeight="1" x14ac:dyDescent="0.25">
      <c r="A690" s="865"/>
      <c r="B690" s="865"/>
      <c r="C690" s="908"/>
      <c r="G690" s="865"/>
      <c r="H690" s="874"/>
      <c r="I690" s="869"/>
      <c r="J690" s="869"/>
      <c r="K690" s="869"/>
      <c r="L690" s="869"/>
      <c r="M690" s="874"/>
      <c r="O690" s="874"/>
      <c r="P690" s="874"/>
      <c r="Q690" s="874"/>
      <c r="R690" s="874"/>
      <c r="S690" s="874"/>
      <c r="T690" s="874"/>
      <c r="W690" s="874"/>
      <c r="X690" s="874"/>
      <c r="Y690" s="874"/>
      <c r="Z690" s="874"/>
      <c r="AA690" s="874"/>
      <c r="AD690" s="526"/>
      <c r="AE690" s="526"/>
      <c r="AF690" s="526"/>
      <c r="AG690" s="526"/>
      <c r="AH690" s="526"/>
      <c r="AI690" s="526"/>
      <c r="AJ690" s="526"/>
      <c r="AK690" s="526"/>
      <c r="AL690" s="526"/>
      <c r="AM690" s="526"/>
      <c r="AN690" s="526"/>
      <c r="AO690" s="526"/>
      <c r="AP690" s="526"/>
      <c r="AQ690" s="526"/>
      <c r="AR690" s="526"/>
      <c r="AS690" s="526"/>
      <c r="AT690" s="526"/>
      <c r="AU690" s="526"/>
      <c r="AV690" s="526"/>
      <c r="AW690" s="526"/>
      <c r="AX690" s="526"/>
      <c r="AY690" s="526"/>
      <c r="AZ690" s="526"/>
      <c r="BA690" s="526"/>
      <c r="BB690" s="526"/>
      <c r="BC690" s="526"/>
      <c r="BD690" s="526"/>
      <c r="BE690" s="526"/>
      <c r="BF690" s="526"/>
      <c r="BG690" s="526"/>
    </row>
    <row r="691" spans="1:59" s="830" customFormat="1" ht="17.25" customHeight="1" x14ac:dyDescent="0.25">
      <c r="A691" s="865"/>
      <c r="B691" s="865"/>
      <c r="C691" s="908"/>
      <c r="G691" s="865"/>
      <c r="H691" s="874"/>
      <c r="I691" s="869"/>
      <c r="J691" s="869"/>
      <c r="K691" s="869"/>
      <c r="L691" s="869"/>
      <c r="M691" s="874"/>
      <c r="O691" s="874"/>
      <c r="P691" s="874"/>
      <c r="Q691" s="874"/>
      <c r="R691" s="874"/>
      <c r="S691" s="874"/>
      <c r="T691" s="874"/>
      <c r="W691" s="874"/>
      <c r="X691" s="874"/>
      <c r="Y691" s="874"/>
      <c r="Z691" s="874"/>
      <c r="AA691" s="874"/>
      <c r="AD691" s="526"/>
      <c r="AE691" s="526"/>
      <c r="AF691" s="526"/>
      <c r="AG691" s="526"/>
      <c r="AH691" s="526"/>
      <c r="AI691" s="526"/>
      <c r="AJ691" s="526"/>
      <c r="AK691" s="526"/>
      <c r="AL691" s="526"/>
      <c r="AM691" s="526"/>
      <c r="AN691" s="526"/>
      <c r="AO691" s="526"/>
      <c r="AP691" s="526"/>
      <c r="AQ691" s="526"/>
      <c r="AR691" s="526"/>
      <c r="AS691" s="526"/>
      <c r="AT691" s="526"/>
      <c r="AU691" s="526"/>
      <c r="AV691" s="526"/>
      <c r="AW691" s="526"/>
      <c r="AX691" s="526"/>
      <c r="AY691" s="526"/>
      <c r="AZ691" s="526"/>
      <c r="BA691" s="526"/>
      <c r="BB691" s="526"/>
      <c r="BC691" s="526"/>
      <c r="BD691" s="526"/>
      <c r="BE691" s="526"/>
      <c r="BF691" s="526"/>
      <c r="BG691" s="526"/>
    </row>
    <row r="692" spans="1:59" s="830" customFormat="1" ht="17.25" customHeight="1" x14ac:dyDescent="0.25">
      <c r="A692" s="865"/>
      <c r="B692" s="865"/>
      <c r="C692" s="908"/>
      <c r="G692" s="865"/>
      <c r="H692" s="874"/>
      <c r="I692" s="869"/>
      <c r="J692" s="869"/>
      <c r="K692" s="869"/>
      <c r="L692" s="869"/>
      <c r="M692" s="874"/>
      <c r="O692" s="874"/>
      <c r="P692" s="874"/>
      <c r="Q692" s="874"/>
      <c r="R692" s="874"/>
      <c r="S692" s="874"/>
      <c r="T692" s="874"/>
      <c r="W692" s="874"/>
      <c r="X692" s="874"/>
      <c r="Y692" s="874"/>
      <c r="Z692" s="874"/>
      <c r="AA692" s="874"/>
      <c r="AD692" s="526"/>
      <c r="AE692" s="526"/>
      <c r="AF692" s="526"/>
      <c r="AG692" s="526"/>
      <c r="AH692" s="526"/>
      <c r="AI692" s="526"/>
      <c r="AJ692" s="526"/>
      <c r="AK692" s="526"/>
      <c r="AL692" s="526"/>
      <c r="AM692" s="526"/>
      <c r="AN692" s="526"/>
      <c r="AO692" s="526"/>
      <c r="AP692" s="526"/>
      <c r="AQ692" s="526"/>
      <c r="AR692" s="526"/>
      <c r="AS692" s="526"/>
      <c r="AT692" s="526"/>
      <c r="AU692" s="526"/>
      <c r="AV692" s="526"/>
      <c r="AW692" s="526"/>
      <c r="AX692" s="526"/>
      <c r="AY692" s="526"/>
      <c r="AZ692" s="526"/>
      <c r="BA692" s="526"/>
      <c r="BB692" s="526"/>
      <c r="BC692" s="526"/>
      <c r="BD692" s="526"/>
      <c r="BE692" s="526"/>
      <c r="BF692" s="526"/>
      <c r="BG692" s="526"/>
    </row>
    <row r="693" spans="1:59" s="830" customFormat="1" ht="17.25" customHeight="1" x14ac:dyDescent="0.25">
      <c r="A693" s="865"/>
      <c r="B693" s="865"/>
      <c r="C693" s="908"/>
      <c r="G693" s="865"/>
      <c r="H693" s="874"/>
      <c r="I693" s="869"/>
      <c r="J693" s="869"/>
      <c r="K693" s="869"/>
      <c r="L693" s="869"/>
      <c r="M693" s="874"/>
      <c r="O693" s="874"/>
      <c r="P693" s="874"/>
      <c r="Q693" s="874"/>
      <c r="R693" s="874"/>
      <c r="S693" s="874"/>
      <c r="T693" s="874"/>
      <c r="W693" s="874"/>
      <c r="X693" s="874"/>
      <c r="Y693" s="874"/>
      <c r="Z693" s="874"/>
      <c r="AA693" s="874"/>
      <c r="AD693" s="526"/>
      <c r="AE693" s="526"/>
      <c r="AF693" s="526"/>
      <c r="AG693" s="526"/>
      <c r="AH693" s="526"/>
      <c r="AI693" s="526"/>
      <c r="AJ693" s="526"/>
      <c r="AK693" s="526"/>
      <c r="AL693" s="526"/>
      <c r="AM693" s="526"/>
      <c r="AN693" s="526"/>
      <c r="AO693" s="526"/>
      <c r="AP693" s="526"/>
      <c r="AQ693" s="526"/>
      <c r="AR693" s="526"/>
      <c r="AS693" s="526"/>
      <c r="AT693" s="526"/>
      <c r="AU693" s="526"/>
      <c r="AV693" s="526"/>
      <c r="AW693" s="526"/>
      <c r="AX693" s="526"/>
      <c r="AY693" s="526"/>
      <c r="AZ693" s="526"/>
      <c r="BA693" s="526"/>
      <c r="BB693" s="526"/>
      <c r="BC693" s="526"/>
      <c r="BD693" s="526"/>
      <c r="BE693" s="526"/>
      <c r="BF693" s="526"/>
      <c r="BG693" s="526"/>
    </row>
    <row r="694" spans="1:59" s="830" customFormat="1" ht="17.25" customHeight="1" x14ac:dyDescent="0.25">
      <c r="A694" s="865"/>
      <c r="B694" s="865"/>
      <c r="C694" s="908"/>
      <c r="G694" s="865"/>
      <c r="H694" s="874"/>
      <c r="I694" s="869"/>
      <c r="J694" s="869"/>
      <c r="K694" s="869"/>
      <c r="L694" s="869"/>
      <c r="M694" s="874"/>
      <c r="O694" s="874"/>
      <c r="P694" s="874"/>
      <c r="Q694" s="874"/>
      <c r="R694" s="874"/>
      <c r="S694" s="874"/>
      <c r="T694" s="874"/>
      <c r="W694" s="874"/>
      <c r="X694" s="874"/>
      <c r="Y694" s="874"/>
      <c r="Z694" s="874"/>
      <c r="AA694" s="874"/>
      <c r="AD694" s="526"/>
      <c r="AE694" s="526"/>
      <c r="AF694" s="526"/>
      <c r="AG694" s="526"/>
      <c r="AH694" s="526"/>
      <c r="AI694" s="526"/>
      <c r="AJ694" s="526"/>
      <c r="AK694" s="526"/>
      <c r="AL694" s="526"/>
      <c r="AM694" s="526"/>
      <c r="AN694" s="526"/>
      <c r="AO694" s="526"/>
      <c r="AP694" s="526"/>
      <c r="AQ694" s="526"/>
      <c r="AR694" s="526"/>
      <c r="AS694" s="526"/>
      <c r="AT694" s="526"/>
      <c r="AU694" s="526"/>
      <c r="AV694" s="526"/>
      <c r="AW694" s="526"/>
      <c r="AX694" s="526"/>
      <c r="AY694" s="526"/>
      <c r="AZ694" s="526"/>
      <c r="BA694" s="526"/>
      <c r="BB694" s="526"/>
      <c r="BC694" s="526"/>
      <c r="BD694" s="526"/>
      <c r="BE694" s="526"/>
      <c r="BF694" s="526"/>
      <c r="BG694" s="526"/>
    </row>
    <row r="695" spans="1:59" s="830" customFormat="1" ht="17.25" customHeight="1" x14ac:dyDescent="0.25">
      <c r="A695" s="865"/>
      <c r="B695" s="865"/>
      <c r="C695" s="908"/>
      <c r="G695" s="865"/>
      <c r="H695" s="874"/>
      <c r="I695" s="869"/>
      <c r="J695" s="869"/>
      <c r="K695" s="869"/>
      <c r="L695" s="869"/>
      <c r="M695" s="874"/>
      <c r="O695" s="874"/>
      <c r="P695" s="874"/>
      <c r="Q695" s="874"/>
      <c r="R695" s="874"/>
      <c r="S695" s="874"/>
      <c r="T695" s="874"/>
      <c r="W695" s="874"/>
      <c r="X695" s="874"/>
      <c r="Y695" s="874"/>
      <c r="Z695" s="874"/>
      <c r="AA695" s="874"/>
      <c r="AD695" s="526"/>
      <c r="AE695" s="526"/>
      <c r="AF695" s="526"/>
      <c r="AG695" s="526"/>
      <c r="AH695" s="526"/>
      <c r="AI695" s="526"/>
      <c r="AJ695" s="526"/>
      <c r="AK695" s="526"/>
      <c r="AL695" s="526"/>
      <c r="AM695" s="526"/>
      <c r="AN695" s="526"/>
      <c r="AO695" s="526"/>
      <c r="AP695" s="526"/>
      <c r="AQ695" s="526"/>
      <c r="AR695" s="526"/>
      <c r="AS695" s="526"/>
      <c r="AT695" s="526"/>
      <c r="AU695" s="526"/>
      <c r="AV695" s="526"/>
      <c r="AW695" s="526"/>
      <c r="AX695" s="526"/>
      <c r="AY695" s="526"/>
      <c r="AZ695" s="526"/>
      <c r="BA695" s="526"/>
      <c r="BB695" s="526"/>
      <c r="BC695" s="526"/>
      <c r="BD695" s="526"/>
      <c r="BE695" s="526"/>
      <c r="BF695" s="526"/>
      <c r="BG695" s="526"/>
    </row>
    <row r="696" spans="1:59" s="830" customFormat="1" ht="17.25" customHeight="1" x14ac:dyDescent="0.25">
      <c r="A696" s="865"/>
      <c r="B696" s="865"/>
      <c r="C696" s="908"/>
      <c r="G696" s="865"/>
      <c r="H696" s="874"/>
      <c r="I696" s="869"/>
      <c r="J696" s="869"/>
      <c r="K696" s="869"/>
      <c r="L696" s="869"/>
      <c r="M696" s="874"/>
      <c r="O696" s="874"/>
      <c r="P696" s="874"/>
      <c r="Q696" s="874"/>
      <c r="R696" s="874"/>
      <c r="S696" s="874"/>
      <c r="T696" s="874"/>
      <c r="W696" s="874"/>
      <c r="X696" s="874"/>
      <c r="Y696" s="874"/>
      <c r="Z696" s="874"/>
      <c r="AA696" s="874"/>
      <c r="AD696" s="526"/>
      <c r="AE696" s="526"/>
      <c r="AF696" s="526"/>
      <c r="AG696" s="526"/>
      <c r="AH696" s="526"/>
      <c r="AI696" s="526"/>
      <c r="AJ696" s="526"/>
      <c r="AK696" s="526"/>
      <c r="AL696" s="526"/>
      <c r="AM696" s="526"/>
      <c r="AN696" s="526"/>
      <c r="AO696" s="526"/>
      <c r="AP696" s="526"/>
      <c r="AQ696" s="526"/>
      <c r="AR696" s="526"/>
      <c r="AS696" s="526"/>
      <c r="AT696" s="526"/>
      <c r="AU696" s="526"/>
      <c r="AV696" s="526"/>
      <c r="AW696" s="526"/>
      <c r="AX696" s="526"/>
      <c r="AY696" s="526"/>
      <c r="AZ696" s="526"/>
      <c r="BA696" s="526"/>
      <c r="BB696" s="526"/>
      <c r="BC696" s="526"/>
      <c r="BD696" s="526"/>
      <c r="BE696" s="526"/>
      <c r="BF696" s="526"/>
      <c r="BG696" s="526"/>
    </row>
    <row r="697" spans="1:59" s="830" customFormat="1" ht="17.25" customHeight="1" x14ac:dyDescent="0.25">
      <c r="A697" s="865"/>
      <c r="B697" s="865"/>
      <c r="C697" s="908"/>
      <c r="G697" s="865"/>
      <c r="H697" s="874"/>
      <c r="I697" s="869"/>
      <c r="J697" s="869"/>
      <c r="K697" s="869"/>
      <c r="L697" s="869"/>
      <c r="M697" s="874"/>
      <c r="O697" s="874"/>
      <c r="P697" s="874"/>
      <c r="Q697" s="874"/>
      <c r="R697" s="874"/>
      <c r="S697" s="874"/>
      <c r="T697" s="874"/>
      <c r="W697" s="874"/>
      <c r="X697" s="874"/>
      <c r="Y697" s="874"/>
      <c r="Z697" s="874"/>
      <c r="AA697" s="874"/>
      <c r="AD697" s="526"/>
      <c r="AE697" s="526"/>
      <c r="AF697" s="526"/>
      <c r="AG697" s="526"/>
      <c r="AH697" s="526"/>
      <c r="AI697" s="526"/>
      <c r="AJ697" s="526"/>
      <c r="AK697" s="526"/>
      <c r="AL697" s="526"/>
      <c r="AM697" s="526"/>
      <c r="AN697" s="526"/>
      <c r="AO697" s="526"/>
      <c r="AP697" s="526"/>
      <c r="AQ697" s="526"/>
      <c r="AR697" s="526"/>
      <c r="AS697" s="526"/>
      <c r="AT697" s="526"/>
      <c r="AU697" s="526"/>
      <c r="AV697" s="526"/>
      <c r="AW697" s="526"/>
      <c r="AX697" s="526"/>
      <c r="AY697" s="526"/>
      <c r="AZ697" s="526"/>
      <c r="BA697" s="526"/>
      <c r="BB697" s="526"/>
      <c r="BC697" s="526"/>
      <c r="BD697" s="526"/>
      <c r="BE697" s="526"/>
      <c r="BF697" s="526"/>
      <c r="BG697" s="526"/>
    </row>
    <row r="698" spans="1:59" s="830" customFormat="1" ht="17.25" customHeight="1" x14ac:dyDescent="0.25">
      <c r="A698" s="865"/>
      <c r="B698" s="865"/>
      <c r="C698" s="908"/>
      <c r="G698" s="865"/>
      <c r="H698" s="874"/>
      <c r="I698" s="869"/>
      <c r="J698" s="869"/>
      <c r="K698" s="869"/>
      <c r="L698" s="869"/>
      <c r="M698" s="874"/>
      <c r="O698" s="874"/>
      <c r="P698" s="874"/>
      <c r="Q698" s="874"/>
      <c r="R698" s="874"/>
      <c r="S698" s="874"/>
      <c r="T698" s="874"/>
      <c r="W698" s="874"/>
      <c r="X698" s="874"/>
      <c r="Y698" s="874"/>
      <c r="Z698" s="874"/>
      <c r="AA698" s="874"/>
      <c r="AD698" s="526"/>
      <c r="AE698" s="526"/>
      <c r="AF698" s="526"/>
      <c r="AG698" s="526"/>
      <c r="AH698" s="526"/>
      <c r="AI698" s="526"/>
      <c r="AJ698" s="526"/>
      <c r="AK698" s="526"/>
      <c r="AL698" s="526"/>
      <c r="AM698" s="526"/>
      <c r="AN698" s="526"/>
      <c r="AO698" s="526"/>
      <c r="AP698" s="526"/>
      <c r="AQ698" s="526"/>
      <c r="AR698" s="526"/>
      <c r="AS698" s="526"/>
      <c r="AT698" s="526"/>
      <c r="AU698" s="526"/>
      <c r="AV698" s="526"/>
      <c r="AW698" s="526"/>
      <c r="AX698" s="526"/>
      <c r="AY698" s="526"/>
      <c r="AZ698" s="526"/>
      <c r="BA698" s="526"/>
      <c r="BB698" s="526"/>
      <c r="BC698" s="526"/>
      <c r="BD698" s="526"/>
      <c r="BE698" s="526"/>
      <c r="BF698" s="526"/>
      <c r="BG698" s="526"/>
    </row>
    <row r="699" spans="1:59" s="830" customFormat="1" ht="17.25" customHeight="1" x14ac:dyDescent="0.25">
      <c r="A699" s="865"/>
      <c r="B699" s="865"/>
      <c r="C699" s="908"/>
      <c r="G699" s="865"/>
      <c r="H699" s="874"/>
      <c r="I699" s="869"/>
      <c r="J699" s="869"/>
      <c r="K699" s="869"/>
      <c r="L699" s="869"/>
      <c r="M699" s="874"/>
      <c r="O699" s="874"/>
      <c r="P699" s="874"/>
      <c r="Q699" s="874"/>
      <c r="R699" s="874"/>
      <c r="S699" s="874"/>
      <c r="T699" s="874"/>
      <c r="W699" s="874"/>
      <c r="X699" s="874"/>
      <c r="Y699" s="874"/>
      <c r="Z699" s="874"/>
      <c r="AA699" s="874"/>
      <c r="AD699" s="526"/>
      <c r="AE699" s="526"/>
      <c r="AF699" s="526"/>
      <c r="AG699" s="526"/>
      <c r="AH699" s="526"/>
      <c r="AI699" s="526"/>
      <c r="AJ699" s="526"/>
      <c r="AK699" s="526"/>
      <c r="AL699" s="526"/>
      <c r="AM699" s="526"/>
      <c r="AN699" s="526"/>
      <c r="AO699" s="526"/>
      <c r="AP699" s="526"/>
      <c r="AQ699" s="526"/>
      <c r="AR699" s="526"/>
      <c r="AS699" s="526"/>
      <c r="AT699" s="526"/>
      <c r="AU699" s="526"/>
      <c r="AV699" s="526"/>
      <c r="AW699" s="526"/>
      <c r="AX699" s="526"/>
      <c r="AY699" s="526"/>
      <c r="AZ699" s="526"/>
      <c r="BA699" s="526"/>
      <c r="BB699" s="526"/>
      <c r="BC699" s="526"/>
      <c r="BD699" s="526"/>
      <c r="BE699" s="526"/>
      <c r="BF699" s="526"/>
      <c r="BG699" s="526"/>
    </row>
    <row r="700" spans="1:59" s="830" customFormat="1" ht="17.25" customHeight="1" x14ac:dyDescent="0.25">
      <c r="A700" s="865"/>
      <c r="B700" s="865"/>
      <c r="C700" s="908"/>
      <c r="G700" s="865"/>
      <c r="H700" s="874"/>
      <c r="I700" s="869"/>
      <c r="J700" s="869"/>
      <c r="K700" s="869"/>
      <c r="L700" s="869"/>
      <c r="M700" s="874"/>
      <c r="O700" s="874"/>
      <c r="P700" s="874"/>
      <c r="Q700" s="874"/>
      <c r="R700" s="874"/>
      <c r="S700" s="874"/>
      <c r="T700" s="874"/>
      <c r="W700" s="874"/>
      <c r="X700" s="874"/>
      <c r="Y700" s="874"/>
      <c r="Z700" s="874"/>
      <c r="AA700" s="874"/>
      <c r="AD700" s="526"/>
      <c r="AE700" s="526"/>
      <c r="AF700" s="526"/>
      <c r="AG700" s="526"/>
      <c r="AH700" s="526"/>
      <c r="AI700" s="526"/>
      <c r="AJ700" s="526"/>
      <c r="AK700" s="526"/>
      <c r="AL700" s="526"/>
      <c r="AM700" s="526"/>
      <c r="AN700" s="526"/>
      <c r="AO700" s="526"/>
      <c r="AP700" s="526"/>
      <c r="AQ700" s="526"/>
      <c r="AR700" s="526"/>
      <c r="AS700" s="526"/>
      <c r="AT700" s="526"/>
      <c r="AU700" s="526"/>
      <c r="AV700" s="526"/>
      <c r="AW700" s="526"/>
      <c r="AX700" s="526"/>
      <c r="AY700" s="526"/>
      <c r="AZ700" s="526"/>
      <c r="BA700" s="526"/>
      <c r="BB700" s="526"/>
      <c r="BC700" s="526"/>
      <c r="BD700" s="526"/>
      <c r="BE700" s="526"/>
      <c r="BF700" s="526"/>
      <c r="BG700" s="526"/>
    </row>
    <row r="701" spans="1:59" s="830" customFormat="1" ht="17.25" customHeight="1" x14ac:dyDescent="0.25">
      <c r="A701" s="865"/>
      <c r="B701" s="865"/>
      <c r="C701" s="908"/>
      <c r="G701" s="865"/>
      <c r="H701" s="874"/>
      <c r="I701" s="869"/>
      <c r="J701" s="869"/>
      <c r="K701" s="869"/>
      <c r="L701" s="869"/>
      <c r="M701" s="874"/>
      <c r="O701" s="874"/>
      <c r="P701" s="874"/>
      <c r="Q701" s="874"/>
      <c r="R701" s="874"/>
      <c r="S701" s="874"/>
      <c r="T701" s="874"/>
      <c r="W701" s="874"/>
      <c r="X701" s="874"/>
      <c r="Y701" s="874"/>
      <c r="Z701" s="874"/>
      <c r="AA701" s="874"/>
      <c r="AD701" s="526"/>
      <c r="AE701" s="526"/>
      <c r="AF701" s="526"/>
      <c r="AG701" s="526"/>
      <c r="AH701" s="526"/>
      <c r="AI701" s="526"/>
      <c r="AJ701" s="526"/>
      <c r="AK701" s="526"/>
      <c r="AL701" s="526"/>
      <c r="AM701" s="526"/>
      <c r="AN701" s="526"/>
      <c r="AO701" s="526"/>
      <c r="AP701" s="526"/>
      <c r="AQ701" s="526"/>
      <c r="AR701" s="526"/>
      <c r="AS701" s="526"/>
      <c r="AT701" s="526"/>
      <c r="AU701" s="526"/>
      <c r="AV701" s="526"/>
      <c r="AW701" s="526"/>
      <c r="AX701" s="526"/>
      <c r="AY701" s="526"/>
      <c r="AZ701" s="526"/>
      <c r="BA701" s="526"/>
      <c r="BB701" s="526"/>
      <c r="BC701" s="526"/>
      <c r="BD701" s="526"/>
      <c r="BE701" s="526"/>
      <c r="BF701" s="526"/>
      <c r="BG701" s="526"/>
    </row>
    <row r="702" spans="1:59" s="830" customFormat="1" ht="17.25" customHeight="1" x14ac:dyDescent="0.25">
      <c r="A702" s="865"/>
      <c r="B702" s="865"/>
      <c r="C702" s="908"/>
      <c r="G702" s="865"/>
      <c r="H702" s="874"/>
      <c r="I702" s="869"/>
      <c r="J702" s="869"/>
      <c r="K702" s="869"/>
      <c r="L702" s="869"/>
      <c r="M702" s="874"/>
      <c r="O702" s="874"/>
      <c r="P702" s="874"/>
      <c r="Q702" s="874"/>
      <c r="R702" s="874"/>
      <c r="S702" s="874"/>
      <c r="T702" s="874"/>
      <c r="W702" s="874"/>
      <c r="X702" s="874"/>
      <c r="Y702" s="874"/>
      <c r="Z702" s="874"/>
      <c r="AA702" s="874"/>
      <c r="AD702" s="526"/>
      <c r="AE702" s="526"/>
      <c r="AF702" s="526"/>
      <c r="AG702" s="526"/>
      <c r="AH702" s="526"/>
      <c r="AI702" s="526"/>
      <c r="AJ702" s="526"/>
      <c r="AK702" s="526"/>
      <c r="AL702" s="526"/>
      <c r="AM702" s="526"/>
      <c r="AN702" s="526"/>
      <c r="AO702" s="526"/>
      <c r="AP702" s="526"/>
      <c r="AQ702" s="526"/>
      <c r="AR702" s="526"/>
      <c r="AS702" s="526"/>
      <c r="AT702" s="526"/>
      <c r="AU702" s="526"/>
      <c r="AV702" s="526"/>
      <c r="AW702" s="526"/>
      <c r="AX702" s="526"/>
      <c r="AY702" s="526"/>
      <c r="AZ702" s="526"/>
      <c r="BA702" s="526"/>
      <c r="BB702" s="526"/>
      <c r="BC702" s="526"/>
      <c r="BD702" s="526"/>
      <c r="BE702" s="526"/>
      <c r="BF702" s="526"/>
      <c r="BG702" s="526"/>
    </row>
    <row r="703" spans="1:59" s="830" customFormat="1" ht="17.25" customHeight="1" x14ac:dyDescent="0.25">
      <c r="A703" s="865"/>
      <c r="B703" s="865"/>
      <c r="C703" s="908"/>
      <c r="G703" s="865"/>
      <c r="H703" s="874"/>
      <c r="I703" s="869"/>
      <c r="J703" s="869"/>
      <c r="K703" s="869"/>
      <c r="L703" s="869"/>
      <c r="M703" s="874"/>
      <c r="O703" s="874"/>
      <c r="P703" s="874"/>
      <c r="Q703" s="874"/>
      <c r="R703" s="874"/>
      <c r="S703" s="874"/>
      <c r="T703" s="874"/>
      <c r="W703" s="874"/>
      <c r="X703" s="874"/>
      <c r="Y703" s="874"/>
      <c r="Z703" s="874"/>
      <c r="AA703" s="874"/>
      <c r="AD703" s="526"/>
      <c r="AE703" s="526"/>
      <c r="AF703" s="526"/>
      <c r="AG703" s="526"/>
      <c r="AH703" s="526"/>
      <c r="AI703" s="526"/>
      <c r="AJ703" s="526"/>
      <c r="AK703" s="526"/>
      <c r="AL703" s="526"/>
      <c r="AM703" s="526"/>
      <c r="AN703" s="526"/>
      <c r="AO703" s="526"/>
      <c r="AP703" s="526"/>
      <c r="AQ703" s="526"/>
      <c r="AR703" s="526"/>
      <c r="AS703" s="526"/>
      <c r="AT703" s="526"/>
      <c r="AU703" s="526"/>
      <c r="AV703" s="526"/>
      <c r="AW703" s="526"/>
      <c r="AX703" s="526"/>
      <c r="AY703" s="526"/>
      <c r="AZ703" s="526"/>
      <c r="BA703" s="526"/>
      <c r="BB703" s="526"/>
      <c r="BC703" s="526"/>
      <c r="BD703" s="526"/>
      <c r="BE703" s="526"/>
      <c r="BF703" s="526"/>
      <c r="BG703" s="526"/>
    </row>
    <row r="704" spans="1:59" s="830" customFormat="1" ht="17.25" customHeight="1" x14ac:dyDescent="0.25">
      <c r="A704" s="865"/>
      <c r="B704" s="865"/>
      <c r="C704" s="908"/>
      <c r="G704" s="865"/>
      <c r="H704" s="874"/>
      <c r="I704" s="869"/>
      <c r="J704" s="869"/>
      <c r="K704" s="869"/>
      <c r="L704" s="869"/>
      <c r="M704" s="874"/>
      <c r="O704" s="874"/>
      <c r="P704" s="874"/>
      <c r="Q704" s="874"/>
      <c r="R704" s="874"/>
      <c r="S704" s="874"/>
      <c r="T704" s="874"/>
      <c r="W704" s="874"/>
      <c r="X704" s="874"/>
      <c r="Y704" s="874"/>
      <c r="Z704" s="874"/>
      <c r="AA704" s="874"/>
      <c r="AD704" s="526"/>
      <c r="AE704" s="526"/>
      <c r="AF704" s="526"/>
      <c r="AG704" s="526"/>
      <c r="AH704" s="526"/>
      <c r="AI704" s="526"/>
      <c r="AJ704" s="526"/>
      <c r="AK704" s="526"/>
      <c r="AL704" s="526"/>
      <c r="AM704" s="526"/>
      <c r="AN704" s="526"/>
      <c r="AO704" s="526"/>
      <c r="AP704" s="526"/>
      <c r="AQ704" s="526"/>
      <c r="AR704" s="526"/>
      <c r="AS704" s="526"/>
      <c r="AT704" s="526"/>
      <c r="AU704" s="526"/>
      <c r="AV704" s="526"/>
      <c r="AW704" s="526"/>
      <c r="AX704" s="526"/>
      <c r="AY704" s="526"/>
      <c r="AZ704" s="526"/>
      <c r="BA704" s="526"/>
      <c r="BB704" s="526"/>
      <c r="BC704" s="526"/>
      <c r="BD704" s="526"/>
      <c r="BE704" s="526"/>
      <c r="BF704" s="526"/>
      <c r="BG704" s="526"/>
    </row>
    <row r="705" spans="1:59" s="830" customFormat="1" ht="17.25" customHeight="1" x14ac:dyDescent="0.25">
      <c r="A705" s="865"/>
      <c r="B705" s="865"/>
      <c r="C705" s="908"/>
      <c r="G705" s="865"/>
      <c r="H705" s="874"/>
      <c r="I705" s="869"/>
      <c r="J705" s="869"/>
      <c r="K705" s="869"/>
      <c r="L705" s="869"/>
      <c r="M705" s="874"/>
      <c r="O705" s="874"/>
      <c r="P705" s="874"/>
      <c r="Q705" s="874"/>
      <c r="R705" s="874"/>
      <c r="S705" s="874"/>
      <c r="T705" s="874"/>
      <c r="W705" s="874"/>
      <c r="X705" s="874"/>
      <c r="Y705" s="874"/>
      <c r="Z705" s="874"/>
      <c r="AA705" s="874"/>
      <c r="AD705" s="526"/>
      <c r="AE705" s="526"/>
      <c r="AF705" s="526"/>
      <c r="AG705" s="526"/>
      <c r="AH705" s="526"/>
      <c r="AI705" s="526"/>
      <c r="AJ705" s="526"/>
      <c r="AK705" s="526"/>
      <c r="AL705" s="526"/>
      <c r="AM705" s="526"/>
      <c r="AN705" s="526"/>
      <c r="AO705" s="526"/>
      <c r="AP705" s="526"/>
      <c r="AQ705" s="526"/>
      <c r="AR705" s="526"/>
      <c r="AS705" s="526"/>
      <c r="AT705" s="526"/>
      <c r="AU705" s="526"/>
      <c r="AV705" s="526"/>
      <c r="AW705" s="526"/>
      <c r="AX705" s="526"/>
      <c r="AY705" s="526"/>
      <c r="AZ705" s="526"/>
      <c r="BA705" s="526"/>
      <c r="BB705" s="526"/>
      <c r="BC705" s="526"/>
      <c r="BD705" s="526"/>
      <c r="BE705" s="526"/>
      <c r="BF705" s="526"/>
      <c r="BG705" s="526"/>
    </row>
    <row r="706" spans="1:59" s="830" customFormat="1" ht="17.25" customHeight="1" x14ac:dyDescent="0.25">
      <c r="A706" s="865"/>
      <c r="B706" s="865"/>
      <c r="C706" s="908"/>
      <c r="G706" s="865"/>
      <c r="H706" s="874"/>
      <c r="I706" s="869"/>
      <c r="J706" s="869"/>
      <c r="K706" s="869"/>
      <c r="L706" s="869"/>
      <c r="M706" s="874"/>
      <c r="O706" s="874"/>
      <c r="P706" s="874"/>
      <c r="Q706" s="874"/>
      <c r="R706" s="874"/>
      <c r="S706" s="874"/>
      <c r="T706" s="874"/>
      <c r="W706" s="874"/>
      <c r="X706" s="874"/>
      <c r="Y706" s="874"/>
      <c r="Z706" s="874"/>
      <c r="AA706" s="874"/>
      <c r="AD706" s="526"/>
      <c r="AE706" s="526"/>
      <c r="AF706" s="526"/>
      <c r="AG706" s="526"/>
      <c r="AH706" s="526"/>
      <c r="AI706" s="526"/>
      <c r="AJ706" s="526"/>
      <c r="AK706" s="526"/>
      <c r="AL706" s="526"/>
      <c r="AM706" s="526"/>
      <c r="AN706" s="526"/>
      <c r="AO706" s="526"/>
      <c r="AP706" s="526"/>
      <c r="AQ706" s="526"/>
      <c r="AR706" s="526"/>
      <c r="AS706" s="526"/>
      <c r="AT706" s="526"/>
      <c r="AU706" s="526"/>
      <c r="AV706" s="526"/>
      <c r="AW706" s="526"/>
      <c r="AX706" s="526"/>
      <c r="AY706" s="526"/>
      <c r="AZ706" s="526"/>
      <c r="BA706" s="526"/>
      <c r="BB706" s="526"/>
      <c r="BC706" s="526"/>
      <c r="BD706" s="526"/>
      <c r="BE706" s="526"/>
      <c r="BF706" s="526"/>
      <c r="BG706" s="526"/>
    </row>
    <row r="707" spans="1:59" s="830" customFormat="1" ht="17.25" customHeight="1" x14ac:dyDescent="0.25">
      <c r="A707" s="865"/>
      <c r="B707" s="865"/>
      <c r="C707" s="908"/>
      <c r="G707" s="865"/>
      <c r="H707" s="874"/>
      <c r="I707" s="869"/>
      <c r="J707" s="869"/>
      <c r="K707" s="869"/>
      <c r="L707" s="869"/>
      <c r="M707" s="874"/>
      <c r="O707" s="874"/>
      <c r="P707" s="874"/>
      <c r="Q707" s="874"/>
      <c r="R707" s="874"/>
      <c r="S707" s="874"/>
      <c r="T707" s="874"/>
      <c r="W707" s="874"/>
      <c r="X707" s="874"/>
      <c r="Y707" s="874"/>
      <c r="Z707" s="874"/>
      <c r="AA707" s="874"/>
      <c r="AD707" s="526"/>
      <c r="AE707" s="526"/>
      <c r="AF707" s="526"/>
      <c r="AG707" s="526"/>
      <c r="AH707" s="526"/>
      <c r="AI707" s="526"/>
      <c r="AJ707" s="526"/>
      <c r="AK707" s="526"/>
      <c r="AL707" s="526"/>
      <c r="AM707" s="526"/>
      <c r="AN707" s="526"/>
      <c r="AO707" s="526"/>
      <c r="AP707" s="526"/>
      <c r="AQ707" s="526"/>
      <c r="AR707" s="526"/>
      <c r="AS707" s="526"/>
      <c r="AT707" s="526"/>
      <c r="AU707" s="526"/>
      <c r="AV707" s="526"/>
      <c r="AW707" s="526"/>
      <c r="AX707" s="526"/>
      <c r="AY707" s="526"/>
      <c r="AZ707" s="526"/>
      <c r="BA707" s="526"/>
      <c r="BB707" s="526"/>
      <c r="BC707" s="526"/>
      <c r="BD707" s="526"/>
      <c r="BE707" s="526"/>
      <c r="BF707" s="526"/>
      <c r="BG707" s="526"/>
    </row>
    <row r="708" spans="1:59" s="830" customFormat="1" ht="17.25" customHeight="1" x14ac:dyDescent="0.25">
      <c r="A708" s="865"/>
      <c r="B708" s="865"/>
      <c r="C708" s="908"/>
      <c r="G708" s="865"/>
      <c r="H708" s="874"/>
      <c r="I708" s="869"/>
      <c r="J708" s="869"/>
      <c r="K708" s="869"/>
      <c r="L708" s="869"/>
      <c r="M708" s="874"/>
      <c r="O708" s="874"/>
      <c r="P708" s="874"/>
      <c r="Q708" s="874"/>
      <c r="R708" s="874"/>
      <c r="S708" s="874"/>
      <c r="T708" s="874"/>
      <c r="W708" s="874"/>
      <c r="X708" s="874"/>
      <c r="Y708" s="874"/>
      <c r="Z708" s="874"/>
      <c r="AA708" s="874"/>
      <c r="AD708" s="526"/>
      <c r="AE708" s="526"/>
      <c r="AF708" s="526"/>
      <c r="AG708" s="526"/>
      <c r="AH708" s="526"/>
      <c r="AI708" s="526"/>
      <c r="AJ708" s="526"/>
      <c r="AK708" s="526"/>
      <c r="AL708" s="526"/>
      <c r="AM708" s="526"/>
      <c r="AN708" s="526"/>
      <c r="AO708" s="526"/>
      <c r="AP708" s="526"/>
      <c r="AQ708" s="526"/>
      <c r="AR708" s="526"/>
      <c r="AS708" s="526"/>
      <c r="AT708" s="526"/>
      <c r="AU708" s="526"/>
      <c r="AV708" s="526"/>
      <c r="AW708" s="526"/>
      <c r="AX708" s="526"/>
      <c r="AY708" s="526"/>
      <c r="AZ708" s="526"/>
      <c r="BA708" s="526"/>
      <c r="BB708" s="526"/>
      <c r="BC708" s="526"/>
      <c r="BD708" s="526"/>
      <c r="BE708" s="526"/>
      <c r="BF708" s="526"/>
      <c r="BG708" s="526"/>
    </row>
    <row r="709" spans="1:59" s="830" customFormat="1" ht="17.25" customHeight="1" x14ac:dyDescent="0.25">
      <c r="A709" s="865"/>
      <c r="B709" s="865"/>
      <c r="C709" s="908"/>
      <c r="G709" s="865"/>
      <c r="H709" s="874"/>
      <c r="I709" s="869"/>
      <c r="J709" s="869"/>
      <c r="K709" s="869"/>
      <c r="L709" s="869"/>
      <c r="M709" s="874"/>
      <c r="O709" s="874"/>
      <c r="P709" s="874"/>
      <c r="Q709" s="874"/>
      <c r="R709" s="874"/>
      <c r="S709" s="874"/>
      <c r="T709" s="874"/>
      <c r="W709" s="874"/>
      <c r="X709" s="874"/>
      <c r="Y709" s="874"/>
      <c r="Z709" s="874"/>
      <c r="AA709" s="874"/>
      <c r="AD709" s="526"/>
      <c r="AE709" s="526"/>
      <c r="AF709" s="526"/>
      <c r="AG709" s="526"/>
      <c r="AH709" s="526"/>
      <c r="AI709" s="526"/>
      <c r="AJ709" s="526"/>
      <c r="AK709" s="526"/>
      <c r="AL709" s="526"/>
      <c r="AM709" s="526"/>
      <c r="AN709" s="526"/>
      <c r="AO709" s="526"/>
      <c r="AP709" s="526"/>
      <c r="AQ709" s="526"/>
      <c r="AR709" s="526"/>
      <c r="AS709" s="526"/>
      <c r="AT709" s="526"/>
      <c r="AU709" s="526"/>
      <c r="AV709" s="526"/>
      <c r="AW709" s="526"/>
      <c r="AX709" s="526"/>
      <c r="AY709" s="526"/>
      <c r="AZ709" s="526"/>
      <c r="BA709" s="526"/>
      <c r="BB709" s="526"/>
      <c r="BC709" s="526"/>
      <c r="BD709" s="526"/>
      <c r="BE709" s="526"/>
      <c r="BF709" s="526"/>
      <c r="BG709" s="526"/>
    </row>
    <row r="710" spans="1:59" s="830" customFormat="1" ht="17.25" customHeight="1" x14ac:dyDescent="0.25">
      <c r="A710" s="865"/>
      <c r="B710" s="865"/>
      <c r="C710" s="908"/>
      <c r="G710" s="865"/>
      <c r="H710" s="874"/>
      <c r="I710" s="869"/>
      <c r="J710" s="869"/>
      <c r="K710" s="869"/>
      <c r="L710" s="869"/>
      <c r="M710" s="874"/>
      <c r="O710" s="874"/>
      <c r="P710" s="874"/>
      <c r="Q710" s="874"/>
      <c r="R710" s="874"/>
      <c r="S710" s="874"/>
      <c r="T710" s="874"/>
      <c r="W710" s="874"/>
      <c r="X710" s="874"/>
      <c r="Y710" s="874"/>
      <c r="Z710" s="874"/>
      <c r="AA710" s="874"/>
      <c r="AD710" s="526"/>
      <c r="AE710" s="526"/>
      <c r="AF710" s="526"/>
      <c r="AG710" s="526"/>
      <c r="AH710" s="526"/>
      <c r="AI710" s="526"/>
      <c r="AJ710" s="526"/>
      <c r="AK710" s="526"/>
      <c r="AL710" s="526"/>
      <c r="AM710" s="526"/>
      <c r="AN710" s="526"/>
      <c r="AO710" s="526"/>
      <c r="AP710" s="526"/>
      <c r="AQ710" s="526"/>
      <c r="AR710" s="526"/>
      <c r="AS710" s="526"/>
      <c r="AT710" s="526"/>
      <c r="AU710" s="526"/>
      <c r="AV710" s="526"/>
      <c r="AW710" s="526"/>
      <c r="AX710" s="526"/>
      <c r="AY710" s="526"/>
      <c r="AZ710" s="526"/>
      <c r="BA710" s="526"/>
      <c r="BB710" s="526"/>
      <c r="BC710" s="526"/>
      <c r="BD710" s="526"/>
      <c r="BE710" s="526"/>
      <c r="BF710" s="526"/>
      <c r="BG710" s="526"/>
    </row>
    <row r="711" spans="1:59" s="830" customFormat="1" ht="17.25" customHeight="1" x14ac:dyDescent="0.25">
      <c r="A711" s="865"/>
      <c r="B711" s="865"/>
      <c r="C711" s="908"/>
      <c r="G711" s="865"/>
      <c r="H711" s="874"/>
      <c r="I711" s="869"/>
      <c r="J711" s="869"/>
      <c r="K711" s="869"/>
      <c r="L711" s="869"/>
      <c r="M711" s="874"/>
      <c r="O711" s="874"/>
      <c r="P711" s="874"/>
      <c r="Q711" s="874"/>
      <c r="R711" s="874"/>
      <c r="S711" s="874"/>
      <c r="T711" s="874"/>
      <c r="W711" s="874"/>
      <c r="X711" s="874"/>
      <c r="Y711" s="874"/>
      <c r="Z711" s="874"/>
      <c r="AA711" s="874"/>
      <c r="AD711" s="526"/>
      <c r="AE711" s="526"/>
      <c r="AF711" s="526"/>
      <c r="AG711" s="526"/>
      <c r="AH711" s="526"/>
      <c r="AI711" s="526"/>
      <c r="AJ711" s="526"/>
      <c r="AK711" s="526"/>
      <c r="AL711" s="526"/>
      <c r="AM711" s="526"/>
      <c r="AN711" s="526"/>
      <c r="AO711" s="526"/>
      <c r="AP711" s="526"/>
      <c r="AQ711" s="526"/>
      <c r="AR711" s="526"/>
      <c r="AS711" s="526"/>
      <c r="AT711" s="526"/>
      <c r="AU711" s="526"/>
      <c r="AV711" s="526"/>
      <c r="AW711" s="526"/>
      <c r="AX711" s="526"/>
      <c r="AY711" s="526"/>
      <c r="AZ711" s="526"/>
      <c r="BA711" s="526"/>
      <c r="BB711" s="526"/>
      <c r="BC711" s="526"/>
      <c r="BD711" s="526"/>
      <c r="BE711" s="526"/>
      <c r="BF711" s="526"/>
      <c r="BG711" s="526"/>
    </row>
    <row r="712" spans="1:59" s="830" customFormat="1" ht="17.25" customHeight="1" x14ac:dyDescent="0.25">
      <c r="A712" s="865"/>
      <c r="B712" s="865"/>
      <c r="C712" s="908"/>
      <c r="G712" s="865"/>
      <c r="H712" s="874"/>
      <c r="I712" s="869"/>
      <c r="J712" s="869"/>
      <c r="K712" s="869"/>
      <c r="L712" s="869"/>
      <c r="M712" s="874"/>
      <c r="O712" s="874"/>
      <c r="P712" s="874"/>
      <c r="Q712" s="874"/>
      <c r="R712" s="874"/>
      <c r="S712" s="874"/>
      <c r="T712" s="874"/>
      <c r="W712" s="874"/>
      <c r="X712" s="874"/>
      <c r="Y712" s="874"/>
      <c r="Z712" s="874"/>
      <c r="AA712" s="874"/>
      <c r="AD712" s="526"/>
      <c r="AE712" s="526"/>
      <c r="AF712" s="526"/>
      <c r="AG712" s="526"/>
      <c r="AH712" s="526"/>
      <c r="AI712" s="526"/>
      <c r="AJ712" s="526"/>
      <c r="AK712" s="526"/>
      <c r="AL712" s="526"/>
      <c r="AM712" s="526"/>
      <c r="AN712" s="526"/>
      <c r="AO712" s="526"/>
      <c r="AP712" s="526"/>
      <c r="AQ712" s="526"/>
      <c r="AR712" s="526"/>
      <c r="AS712" s="526"/>
      <c r="AT712" s="526"/>
      <c r="AU712" s="526"/>
      <c r="AV712" s="526"/>
      <c r="AW712" s="526"/>
      <c r="AX712" s="526"/>
      <c r="AY712" s="526"/>
      <c r="AZ712" s="526"/>
      <c r="BA712" s="526"/>
      <c r="BB712" s="526"/>
      <c r="BC712" s="526"/>
      <c r="BD712" s="526"/>
      <c r="BE712" s="526"/>
      <c r="BF712" s="526"/>
      <c r="BG712" s="526"/>
    </row>
    <row r="713" spans="1:59" s="830" customFormat="1" ht="17.25" customHeight="1" x14ac:dyDescent="0.25">
      <c r="A713" s="865"/>
      <c r="B713" s="865"/>
      <c r="C713" s="908"/>
      <c r="G713" s="865"/>
      <c r="H713" s="874"/>
      <c r="I713" s="869"/>
      <c r="J713" s="869"/>
      <c r="K713" s="869"/>
      <c r="L713" s="869"/>
      <c r="M713" s="874"/>
      <c r="O713" s="874"/>
      <c r="P713" s="874"/>
      <c r="Q713" s="874"/>
      <c r="R713" s="874"/>
      <c r="S713" s="874"/>
      <c r="T713" s="874"/>
      <c r="W713" s="874"/>
      <c r="X713" s="874"/>
      <c r="Y713" s="874"/>
      <c r="Z713" s="874"/>
      <c r="AA713" s="874"/>
      <c r="AD713" s="526"/>
      <c r="AE713" s="526"/>
      <c r="AF713" s="526"/>
      <c r="AG713" s="526"/>
      <c r="AH713" s="526"/>
      <c r="AI713" s="526"/>
      <c r="AJ713" s="526"/>
      <c r="AK713" s="526"/>
      <c r="AL713" s="526"/>
      <c r="AM713" s="526"/>
      <c r="AN713" s="526"/>
      <c r="AO713" s="526"/>
      <c r="AP713" s="526"/>
      <c r="AQ713" s="526"/>
      <c r="AR713" s="526"/>
      <c r="AS713" s="526"/>
      <c r="AT713" s="526"/>
      <c r="AU713" s="526"/>
      <c r="AV713" s="526"/>
      <c r="AW713" s="526"/>
      <c r="AX713" s="526"/>
      <c r="AY713" s="526"/>
      <c r="AZ713" s="526"/>
      <c r="BA713" s="526"/>
      <c r="BB713" s="526"/>
      <c r="BC713" s="526"/>
      <c r="BD713" s="526"/>
      <c r="BE713" s="526"/>
      <c r="BF713" s="526"/>
      <c r="BG713" s="526"/>
    </row>
    <row r="714" spans="1:59" s="830" customFormat="1" ht="17.25" customHeight="1" x14ac:dyDescent="0.25">
      <c r="A714" s="865"/>
      <c r="B714" s="865"/>
      <c r="C714" s="908"/>
      <c r="G714" s="865"/>
      <c r="H714" s="874"/>
      <c r="I714" s="869"/>
      <c r="J714" s="869"/>
      <c r="K714" s="869"/>
      <c r="L714" s="869"/>
      <c r="M714" s="874"/>
      <c r="O714" s="874"/>
      <c r="P714" s="874"/>
      <c r="Q714" s="874"/>
      <c r="R714" s="874"/>
      <c r="S714" s="874"/>
      <c r="T714" s="874"/>
      <c r="W714" s="874"/>
      <c r="X714" s="874"/>
      <c r="Y714" s="874"/>
      <c r="Z714" s="874"/>
      <c r="AA714" s="874"/>
      <c r="AD714" s="526"/>
      <c r="AE714" s="526"/>
      <c r="AF714" s="526"/>
      <c r="AG714" s="526"/>
      <c r="AH714" s="526"/>
      <c r="AI714" s="526"/>
      <c r="AJ714" s="526"/>
      <c r="AK714" s="526"/>
      <c r="AL714" s="526"/>
      <c r="AM714" s="526"/>
      <c r="AN714" s="526"/>
      <c r="AO714" s="526"/>
      <c r="AP714" s="526"/>
      <c r="AQ714" s="526"/>
      <c r="AR714" s="526"/>
      <c r="AS714" s="526"/>
      <c r="AT714" s="526"/>
      <c r="AU714" s="526"/>
      <c r="AV714" s="526"/>
      <c r="AW714" s="526"/>
      <c r="AX714" s="526"/>
      <c r="AY714" s="526"/>
      <c r="AZ714" s="526"/>
      <c r="BA714" s="526"/>
      <c r="BB714" s="526"/>
      <c r="BC714" s="526"/>
      <c r="BD714" s="526"/>
      <c r="BE714" s="526"/>
      <c r="BF714" s="526"/>
      <c r="BG714" s="526"/>
    </row>
    <row r="715" spans="1:59" s="830" customFormat="1" ht="17.25" customHeight="1" x14ac:dyDescent="0.25">
      <c r="A715" s="865"/>
      <c r="B715" s="865"/>
      <c r="C715" s="908"/>
      <c r="G715" s="865"/>
      <c r="H715" s="874"/>
      <c r="I715" s="869"/>
      <c r="J715" s="869"/>
      <c r="K715" s="869"/>
      <c r="L715" s="869"/>
      <c r="M715" s="874"/>
      <c r="O715" s="874"/>
      <c r="P715" s="874"/>
      <c r="Q715" s="874"/>
      <c r="R715" s="874"/>
      <c r="S715" s="874"/>
      <c r="T715" s="874"/>
      <c r="W715" s="874"/>
      <c r="X715" s="874"/>
      <c r="Y715" s="874"/>
      <c r="Z715" s="874"/>
      <c r="AA715" s="874"/>
      <c r="AD715" s="526"/>
      <c r="AE715" s="526"/>
      <c r="AF715" s="526"/>
      <c r="AG715" s="526"/>
      <c r="AH715" s="526"/>
      <c r="AI715" s="526"/>
      <c r="AJ715" s="526"/>
      <c r="AK715" s="526"/>
      <c r="AL715" s="526"/>
      <c r="AM715" s="526"/>
      <c r="AN715" s="526"/>
      <c r="AO715" s="526"/>
      <c r="AP715" s="526"/>
      <c r="AQ715" s="526"/>
      <c r="AR715" s="526"/>
      <c r="AS715" s="526"/>
      <c r="AT715" s="526"/>
      <c r="AU715" s="526"/>
      <c r="AV715" s="526"/>
      <c r="AW715" s="526"/>
      <c r="AX715" s="526"/>
      <c r="AY715" s="526"/>
      <c r="AZ715" s="526"/>
      <c r="BA715" s="526"/>
      <c r="BB715" s="526"/>
      <c r="BC715" s="526"/>
      <c r="BD715" s="526"/>
      <c r="BE715" s="526"/>
      <c r="BF715" s="526"/>
      <c r="BG715" s="526"/>
    </row>
    <row r="716" spans="1:59" s="830" customFormat="1" ht="17.25" customHeight="1" x14ac:dyDescent="0.25">
      <c r="A716" s="865"/>
      <c r="B716" s="865"/>
      <c r="C716" s="908"/>
      <c r="G716" s="865"/>
      <c r="H716" s="874"/>
      <c r="I716" s="869"/>
      <c r="J716" s="869"/>
      <c r="K716" s="869"/>
      <c r="L716" s="869"/>
      <c r="M716" s="874"/>
      <c r="O716" s="874"/>
      <c r="P716" s="874"/>
      <c r="Q716" s="874"/>
      <c r="R716" s="874"/>
      <c r="S716" s="874"/>
      <c r="T716" s="874"/>
      <c r="W716" s="874"/>
      <c r="X716" s="874"/>
      <c r="Y716" s="874"/>
      <c r="Z716" s="874"/>
      <c r="AA716" s="874"/>
      <c r="AD716" s="526"/>
      <c r="AE716" s="526"/>
      <c r="AF716" s="526"/>
      <c r="AG716" s="526"/>
      <c r="AH716" s="526"/>
      <c r="AI716" s="526"/>
      <c r="AJ716" s="526"/>
      <c r="AK716" s="526"/>
      <c r="AL716" s="526"/>
      <c r="AM716" s="526"/>
      <c r="AN716" s="526"/>
      <c r="AO716" s="526"/>
      <c r="AP716" s="526"/>
      <c r="AQ716" s="526"/>
      <c r="AR716" s="526"/>
      <c r="AS716" s="526"/>
      <c r="AT716" s="526"/>
      <c r="AU716" s="526"/>
      <c r="AV716" s="526"/>
      <c r="AW716" s="526"/>
      <c r="AX716" s="526"/>
      <c r="AY716" s="526"/>
      <c r="AZ716" s="526"/>
      <c r="BA716" s="526"/>
      <c r="BB716" s="526"/>
      <c r="BC716" s="526"/>
      <c r="BD716" s="526"/>
      <c r="BE716" s="526"/>
      <c r="BF716" s="526"/>
      <c r="BG716" s="526"/>
    </row>
    <row r="717" spans="1:59" s="830" customFormat="1" ht="17.25" customHeight="1" x14ac:dyDescent="0.25">
      <c r="A717" s="865"/>
      <c r="B717" s="865"/>
      <c r="C717" s="908"/>
      <c r="G717" s="865"/>
      <c r="H717" s="874"/>
      <c r="I717" s="869"/>
      <c r="J717" s="869"/>
      <c r="K717" s="869"/>
      <c r="L717" s="869"/>
      <c r="M717" s="874"/>
      <c r="O717" s="874"/>
      <c r="P717" s="874"/>
      <c r="Q717" s="874"/>
      <c r="R717" s="874"/>
      <c r="S717" s="874"/>
      <c r="T717" s="874"/>
      <c r="W717" s="874"/>
      <c r="X717" s="874"/>
      <c r="Y717" s="874"/>
      <c r="Z717" s="874"/>
      <c r="AA717" s="874"/>
      <c r="AD717" s="526"/>
      <c r="AE717" s="526"/>
      <c r="AF717" s="526"/>
      <c r="AG717" s="526"/>
      <c r="AH717" s="526"/>
      <c r="AI717" s="526"/>
      <c r="AJ717" s="526"/>
      <c r="AK717" s="526"/>
      <c r="AL717" s="526"/>
      <c r="AM717" s="526"/>
      <c r="AN717" s="526"/>
      <c r="AO717" s="526"/>
      <c r="AP717" s="526"/>
      <c r="AQ717" s="526"/>
      <c r="AR717" s="526"/>
      <c r="AS717" s="526"/>
      <c r="AT717" s="526"/>
      <c r="AU717" s="526"/>
      <c r="AV717" s="526"/>
      <c r="AW717" s="526"/>
      <c r="AX717" s="526"/>
      <c r="AY717" s="526"/>
      <c r="AZ717" s="526"/>
      <c r="BA717" s="526"/>
      <c r="BB717" s="526"/>
      <c r="BC717" s="526"/>
      <c r="BD717" s="526"/>
      <c r="BE717" s="526"/>
      <c r="BF717" s="526"/>
      <c r="BG717" s="526"/>
    </row>
    <row r="718" spans="1:59" s="830" customFormat="1" ht="17.25" customHeight="1" x14ac:dyDescent="0.25">
      <c r="A718" s="865"/>
      <c r="B718" s="865"/>
      <c r="C718" s="908"/>
      <c r="G718" s="865"/>
      <c r="H718" s="874"/>
      <c r="I718" s="869"/>
      <c r="J718" s="869"/>
      <c r="K718" s="869"/>
      <c r="L718" s="869"/>
      <c r="M718" s="874"/>
      <c r="O718" s="874"/>
      <c r="P718" s="874"/>
      <c r="Q718" s="874"/>
      <c r="R718" s="874"/>
      <c r="S718" s="874"/>
      <c r="T718" s="874"/>
      <c r="W718" s="874"/>
      <c r="X718" s="874"/>
      <c r="Y718" s="874"/>
      <c r="Z718" s="874"/>
      <c r="AA718" s="874"/>
      <c r="AD718" s="526"/>
      <c r="AE718" s="526"/>
      <c r="AF718" s="526"/>
      <c r="AG718" s="526"/>
      <c r="AH718" s="526"/>
      <c r="AI718" s="526"/>
      <c r="AJ718" s="526"/>
      <c r="AK718" s="526"/>
      <c r="AL718" s="526"/>
      <c r="AM718" s="526"/>
      <c r="AN718" s="526"/>
      <c r="AO718" s="526"/>
      <c r="AP718" s="526"/>
      <c r="AQ718" s="526"/>
      <c r="AR718" s="526"/>
      <c r="AS718" s="526"/>
      <c r="AT718" s="526"/>
      <c r="AU718" s="526"/>
      <c r="AV718" s="526"/>
      <c r="AW718" s="526"/>
      <c r="AX718" s="526"/>
      <c r="AY718" s="526"/>
      <c r="AZ718" s="526"/>
      <c r="BA718" s="526"/>
      <c r="BB718" s="526"/>
      <c r="BC718" s="526"/>
      <c r="BD718" s="526"/>
      <c r="BE718" s="526"/>
      <c r="BF718" s="526"/>
      <c r="BG718" s="526"/>
    </row>
    <row r="719" spans="1:59" s="830" customFormat="1" ht="17.25" customHeight="1" x14ac:dyDescent="0.25">
      <c r="A719" s="865"/>
      <c r="B719" s="865"/>
      <c r="C719" s="908"/>
      <c r="G719" s="865"/>
      <c r="H719" s="874"/>
      <c r="I719" s="869"/>
      <c r="J719" s="869"/>
      <c r="K719" s="869"/>
      <c r="L719" s="869"/>
      <c r="M719" s="874"/>
      <c r="O719" s="874"/>
      <c r="P719" s="874"/>
      <c r="Q719" s="874"/>
      <c r="R719" s="874"/>
      <c r="S719" s="874"/>
      <c r="T719" s="874"/>
      <c r="W719" s="874"/>
      <c r="X719" s="874"/>
      <c r="Y719" s="874"/>
      <c r="Z719" s="874"/>
      <c r="AA719" s="874"/>
      <c r="AD719" s="526"/>
      <c r="AE719" s="526"/>
      <c r="AF719" s="526"/>
      <c r="AG719" s="526"/>
      <c r="AH719" s="526"/>
      <c r="AI719" s="526"/>
      <c r="AJ719" s="526"/>
      <c r="AK719" s="526"/>
      <c r="AL719" s="526"/>
      <c r="AM719" s="526"/>
      <c r="AN719" s="526"/>
      <c r="AO719" s="526"/>
      <c r="AP719" s="526"/>
      <c r="AQ719" s="526"/>
      <c r="AR719" s="526"/>
      <c r="AS719" s="526"/>
      <c r="AT719" s="526"/>
      <c r="AU719" s="526"/>
      <c r="AV719" s="526"/>
      <c r="AW719" s="526"/>
      <c r="AX719" s="526"/>
      <c r="AY719" s="526"/>
      <c r="AZ719" s="526"/>
      <c r="BA719" s="526"/>
      <c r="BB719" s="526"/>
      <c r="BC719" s="526"/>
      <c r="BD719" s="526"/>
      <c r="BE719" s="526"/>
      <c r="BF719" s="526"/>
      <c r="BG719" s="526"/>
    </row>
    <row r="720" spans="1:59" s="830" customFormat="1" ht="17.25" customHeight="1" x14ac:dyDescent="0.25">
      <c r="A720" s="865"/>
      <c r="B720" s="865"/>
      <c r="C720" s="908"/>
      <c r="G720" s="865"/>
      <c r="H720" s="874"/>
      <c r="I720" s="869"/>
      <c r="J720" s="869"/>
      <c r="K720" s="869"/>
      <c r="L720" s="869"/>
      <c r="M720" s="874"/>
      <c r="O720" s="874"/>
      <c r="P720" s="874"/>
      <c r="Q720" s="874"/>
      <c r="R720" s="874"/>
      <c r="S720" s="874"/>
      <c r="T720" s="874"/>
      <c r="W720" s="874"/>
      <c r="X720" s="874"/>
      <c r="Y720" s="874"/>
      <c r="Z720" s="874"/>
      <c r="AA720" s="874"/>
      <c r="AD720" s="526"/>
      <c r="AE720" s="526"/>
      <c r="AF720" s="526"/>
      <c r="AG720" s="526"/>
      <c r="AH720" s="526"/>
      <c r="AI720" s="526"/>
      <c r="AJ720" s="526"/>
      <c r="AK720" s="526"/>
      <c r="AL720" s="526"/>
      <c r="AM720" s="526"/>
      <c r="AN720" s="526"/>
      <c r="AO720" s="526"/>
      <c r="AP720" s="526"/>
      <c r="AQ720" s="526"/>
      <c r="AR720" s="526"/>
      <c r="AS720" s="526"/>
      <c r="AT720" s="526"/>
      <c r="AU720" s="526"/>
      <c r="AV720" s="526"/>
      <c r="AW720" s="526"/>
      <c r="AX720" s="526"/>
      <c r="AY720" s="526"/>
      <c r="AZ720" s="526"/>
      <c r="BA720" s="526"/>
      <c r="BB720" s="526"/>
      <c r="BC720" s="526"/>
      <c r="BD720" s="526"/>
      <c r="BE720" s="526"/>
      <c r="BF720" s="526"/>
      <c r="BG720" s="526"/>
    </row>
    <row r="721" spans="1:59" s="830" customFormat="1" ht="17.25" customHeight="1" x14ac:dyDescent="0.25">
      <c r="A721" s="865"/>
      <c r="B721" s="865"/>
      <c r="C721" s="908"/>
      <c r="G721" s="865"/>
      <c r="H721" s="874"/>
      <c r="I721" s="869"/>
      <c r="J721" s="869"/>
      <c r="K721" s="869"/>
      <c r="L721" s="869"/>
      <c r="M721" s="874"/>
      <c r="O721" s="874"/>
      <c r="P721" s="874"/>
      <c r="Q721" s="874"/>
      <c r="R721" s="874"/>
      <c r="S721" s="874"/>
      <c r="T721" s="874"/>
      <c r="W721" s="874"/>
      <c r="X721" s="874"/>
      <c r="Y721" s="874"/>
      <c r="Z721" s="874"/>
      <c r="AA721" s="874"/>
      <c r="AD721" s="526"/>
      <c r="AE721" s="526"/>
      <c r="AF721" s="526"/>
      <c r="AG721" s="526"/>
      <c r="AH721" s="526"/>
      <c r="AI721" s="526"/>
      <c r="AJ721" s="526"/>
      <c r="AK721" s="526"/>
      <c r="AL721" s="526"/>
      <c r="AM721" s="526"/>
      <c r="AN721" s="526"/>
      <c r="AO721" s="526"/>
      <c r="AP721" s="526"/>
      <c r="AQ721" s="526"/>
      <c r="AR721" s="526"/>
      <c r="AS721" s="526"/>
      <c r="AT721" s="526"/>
      <c r="AU721" s="526"/>
      <c r="AV721" s="526"/>
      <c r="AW721" s="526"/>
      <c r="AX721" s="526"/>
      <c r="AY721" s="526"/>
      <c r="AZ721" s="526"/>
      <c r="BA721" s="526"/>
      <c r="BB721" s="526"/>
      <c r="BC721" s="526"/>
      <c r="BD721" s="526"/>
      <c r="BE721" s="526"/>
      <c r="BF721" s="526"/>
      <c r="BG721" s="526"/>
    </row>
    <row r="722" spans="1:59" s="830" customFormat="1" ht="17.25" customHeight="1" x14ac:dyDescent="0.25">
      <c r="A722" s="865"/>
      <c r="B722" s="865"/>
      <c r="C722" s="908"/>
      <c r="G722" s="865"/>
      <c r="H722" s="874"/>
      <c r="I722" s="869"/>
      <c r="J722" s="869"/>
      <c r="K722" s="869"/>
      <c r="L722" s="869"/>
      <c r="M722" s="874"/>
      <c r="O722" s="874"/>
      <c r="P722" s="874"/>
      <c r="Q722" s="874"/>
      <c r="R722" s="874"/>
      <c r="S722" s="874"/>
      <c r="T722" s="874"/>
      <c r="W722" s="874"/>
      <c r="X722" s="874"/>
      <c r="Y722" s="874"/>
      <c r="Z722" s="874"/>
      <c r="AA722" s="874"/>
      <c r="AD722" s="526"/>
      <c r="AE722" s="526"/>
      <c r="AF722" s="526"/>
      <c r="AG722" s="526"/>
      <c r="AH722" s="526"/>
      <c r="AI722" s="526"/>
      <c r="AJ722" s="526"/>
      <c r="AK722" s="526"/>
      <c r="AL722" s="526"/>
      <c r="AM722" s="526"/>
      <c r="AN722" s="526"/>
      <c r="AO722" s="526"/>
      <c r="AP722" s="526"/>
      <c r="AQ722" s="526"/>
      <c r="AR722" s="526"/>
      <c r="AS722" s="526"/>
      <c r="AT722" s="526"/>
      <c r="AU722" s="526"/>
      <c r="AV722" s="526"/>
      <c r="AW722" s="526"/>
      <c r="AX722" s="526"/>
      <c r="AY722" s="526"/>
      <c r="AZ722" s="526"/>
      <c r="BA722" s="526"/>
      <c r="BB722" s="526"/>
      <c r="BC722" s="526"/>
      <c r="BD722" s="526"/>
      <c r="BE722" s="526"/>
      <c r="BF722" s="526"/>
      <c r="BG722" s="526"/>
    </row>
    <row r="723" spans="1:59" s="830" customFormat="1" ht="17.25" customHeight="1" x14ac:dyDescent="0.25">
      <c r="A723" s="865"/>
      <c r="B723" s="865"/>
      <c r="C723" s="908"/>
      <c r="G723" s="865"/>
      <c r="H723" s="874"/>
      <c r="I723" s="869"/>
      <c r="J723" s="869"/>
      <c r="K723" s="869"/>
      <c r="L723" s="869"/>
      <c r="M723" s="874"/>
      <c r="O723" s="874"/>
      <c r="P723" s="874"/>
      <c r="Q723" s="874"/>
      <c r="R723" s="874"/>
      <c r="S723" s="874"/>
      <c r="T723" s="874"/>
      <c r="W723" s="874"/>
      <c r="X723" s="874"/>
      <c r="Y723" s="874"/>
      <c r="Z723" s="874"/>
      <c r="AA723" s="874"/>
      <c r="AD723" s="526"/>
      <c r="AE723" s="526"/>
      <c r="AF723" s="526"/>
      <c r="AG723" s="526"/>
      <c r="AH723" s="526"/>
      <c r="AI723" s="526"/>
      <c r="AJ723" s="526"/>
      <c r="AK723" s="526"/>
      <c r="AL723" s="526"/>
      <c r="AM723" s="526"/>
      <c r="AN723" s="526"/>
      <c r="AO723" s="526"/>
      <c r="AP723" s="526"/>
      <c r="AQ723" s="526"/>
      <c r="AR723" s="526"/>
      <c r="AS723" s="526"/>
      <c r="AT723" s="526"/>
      <c r="AU723" s="526"/>
      <c r="AV723" s="526"/>
      <c r="AW723" s="526"/>
      <c r="AX723" s="526"/>
      <c r="AY723" s="526"/>
      <c r="AZ723" s="526"/>
      <c r="BA723" s="526"/>
      <c r="BB723" s="526"/>
      <c r="BC723" s="526"/>
      <c r="BD723" s="526"/>
      <c r="BE723" s="526"/>
      <c r="BF723" s="526"/>
      <c r="BG723" s="526"/>
    </row>
    <row r="724" spans="1:59" s="830" customFormat="1" ht="17.25" customHeight="1" x14ac:dyDescent="0.25">
      <c r="A724" s="865"/>
      <c r="B724" s="865"/>
      <c r="C724" s="908"/>
      <c r="G724" s="865"/>
      <c r="H724" s="874"/>
      <c r="I724" s="869"/>
      <c r="J724" s="869"/>
      <c r="K724" s="869"/>
      <c r="L724" s="869"/>
      <c r="M724" s="874"/>
      <c r="O724" s="874"/>
      <c r="P724" s="874"/>
      <c r="Q724" s="874"/>
      <c r="R724" s="874"/>
      <c r="S724" s="874"/>
      <c r="T724" s="874"/>
      <c r="W724" s="874"/>
      <c r="X724" s="874"/>
      <c r="Y724" s="874"/>
      <c r="Z724" s="874"/>
      <c r="AA724" s="874"/>
      <c r="AD724" s="526"/>
      <c r="AE724" s="526"/>
      <c r="AF724" s="526"/>
      <c r="AG724" s="526"/>
      <c r="AH724" s="526"/>
      <c r="AI724" s="526"/>
      <c r="AJ724" s="526"/>
      <c r="AK724" s="526"/>
      <c r="AL724" s="526"/>
      <c r="AM724" s="526"/>
      <c r="AN724" s="526"/>
      <c r="AO724" s="526"/>
      <c r="AP724" s="526"/>
      <c r="AQ724" s="526"/>
      <c r="AR724" s="526"/>
      <c r="AS724" s="526"/>
      <c r="AT724" s="526"/>
      <c r="AU724" s="526"/>
      <c r="AV724" s="526"/>
      <c r="AW724" s="526"/>
      <c r="AX724" s="526"/>
      <c r="AY724" s="526"/>
      <c r="AZ724" s="526"/>
      <c r="BA724" s="526"/>
      <c r="BB724" s="526"/>
      <c r="BC724" s="526"/>
      <c r="BD724" s="526"/>
      <c r="BE724" s="526"/>
      <c r="BF724" s="526"/>
      <c r="BG724" s="526"/>
    </row>
    <row r="725" spans="1:59" s="830" customFormat="1" ht="17.25" customHeight="1" x14ac:dyDescent="0.25">
      <c r="A725" s="865"/>
      <c r="B725" s="865"/>
      <c r="C725" s="908"/>
      <c r="G725" s="865"/>
      <c r="H725" s="874"/>
      <c r="I725" s="869"/>
      <c r="J725" s="869"/>
      <c r="K725" s="869"/>
      <c r="L725" s="869"/>
      <c r="M725" s="874"/>
      <c r="O725" s="874"/>
      <c r="P725" s="874"/>
      <c r="Q725" s="874"/>
      <c r="R725" s="874"/>
      <c r="S725" s="874"/>
      <c r="T725" s="874"/>
      <c r="W725" s="874"/>
      <c r="X725" s="874"/>
      <c r="Y725" s="874"/>
      <c r="Z725" s="874"/>
      <c r="AA725" s="874"/>
      <c r="AD725" s="526"/>
      <c r="AE725" s="526"/>
      <c r="AF725" s="526"/>
      <c r="AG725" s="526"/>
      <c r="AH725" s="526"/>
      <c r="AI725" s="526"/>
      <c r="AJ725" s="526"/>
      <c r="AK725" s="526"/>
      <c r="AL725" s="526"/>
      <c r="AM725" s="526"/>
      <c r="AN725" s="526"/>
      <c r="AO725" s="526"/>
      <c r="AP725" s="526"/>
      <c r="AQ725" s="526"/>
      <c r="AR725" s="526"/>
      <c r="AS725" s="526"/>
      <c r="AT725" s="526"/>
      <c r="AU725" s="526"/>
      <c r="AV725" s="526"/>
      <c r="AW725" s="526"/>
      <c r="AX725" s="526"/>
      <c r="AY725" s="526"/>
      <c r="AZ725" s="526"/>
      <c r="BA725" s="526"/>
      <c r="BB725" s="526"/>
      <c r="BC725" s="526"/>
      <c r="BD725" s="526"/>
      <c r="BE725" s="526"/>
      <c r="BF725" s="526"/>
      <c r="BG725" s="526"/>
    </row>
    <row r="726" spans="1:59" s="830" customFormat="1" ht="17.25" customHeight="1" x14ac:dyDescent="0.25">
      <c r="A726" s="865"/>
      <c r="B726" s="865"/>
      <c r="C726" s="908"/>
      <c r="G726" s="865"/>
      <c r="H726" s="874"/>
      <c r="I726" s="869"/>
      <c r="J726" s="869"/>
      <c r="K726" s="869"/>
      <c r="L726" s="869"/>
      <c r="M726" s="874"/>
      <c r="O726" s="874"/>
      <c r="P726" s="874"/>
      <c r="Q726" s="874"/>
      <c r="R726" s="874"/>
      <c r="S726" s="874"/>
      <c r="T726" s="874"/>
      <c r="W726" s="874"/>
      <c r="X726" s="874"/>
      <c r="Y726" s="874"/>
      <c r="Z726" s="874"/>
      <c r="AA726" s="874"/>
      <c r="AD726" s="526"/>
      <c r="AE726" s="526"/>
      <c r="AF726" s="526"/>
      <c r="AG726" s="526"/>
      <c r="AH726" s="526"/>
      <c r="AI726" s="526"/>
      <c r="AJ726" s="526"/>
      <c r="AK726" s="526"/>
      <c r="AL726" s="526"/>
      <c r="AM726" s="526"/>
      <c r="AN726" s="526"/>
      <c r="AO726" s="526"/>
      <c r="AP726" s="526"/>
      <c r="AQ726" s="526"/>
      <c r="AR726" s="526"/>
      <c r="AS726" s="526"/>
      <c r="AT726" s="526"/>
      <c r="AU726" s="526"/>
      <c r="AV726" s="526"/>
      <c r="AW726" s="526"/>
      <c r="AX726" s="526"/>
      <c r="AY726" s="526"/>
      <c r="AZ726" s="526"/>
      <c r="BA726" s="526"/>
      <c r="BB726" s="526"/>
      <c r="BC726" s="526"/>
      <c r="BD726" s="526"/>
      <c r="BE726" s="526"/>
      <c r="BF726" s="526"/>
      <c r="BG726" s="526"/>
    </row>
    <row r="727" spans="1:59" s="830" customFormat="1" ht="17.25" customHeight="1" x14ac:dyDescent="0.25">
      <c r="A727" s="865"/>
      <c r="B727" s="865"/>
      <c r="C727" s="908"/>
      <c r="G727" s="865"/>
      <c r="H727" s="874"/>
      <c r="I727" s="869"/>
      <c r="J727" s="869"/>
      <c r="K727" s="869"/>
      <c r="L727" s="869"/>
      <c r="M727" s="874"/>
      <c r="O727" s="874"/>
      <c r="P727" s="874"/>
      <c r="Q727" s="874"/>
      <c r="R727" s="874"/>
      <c r="S727" s="874"/>
      <c r="T727" s="874"/>
      <c r="W727" s="874"/>
      <c r="X727" s="874"/>
      <c r="Y727" s="874"/>
      <c r="Z727" s="874"/>
      <c r="AA727" s="874"/>
      <c r="AD727" s="526"/>
      <c r="AE727" s="526"/>
      <c r="AF727" s="526"/>
      <c r="AG727" s="526"/>
      <c r="AH727" s="526"/>
      <c r="AI727" s="526"/>
      <c r="AJ727" s="526"/>
      <c r="AK727" s="526"/>
      <c r="AL727" s="526"/>
      <c r="AM727" s="526"/>
      <c r="AN727" s="526"/>
      <c r="AO727" s="526"/>
      <c r="AP727" s="526"/>
      <c r="AQ727" s="526"/>
      <c r="AR727" s="526"/>
      <c r="AS727" s="526"/>
      <c r="AT727" s="526"/>
      <c r="AU727" s="526"/>
      <c r="AV727" s="526"/>
      <c r="AW727" s="526"/>
      <c r="AX727" s="526"/>
      <c r="AY727" s="526"/>
      <c r="AZ727" s="526"/>
      <c r="BA727" s="526"/>
      <c r="BB727" s="526"/>
      <c r="BC727" s="526"/>
      <c r="BD727" s="526"/>
      <c r="BE727" s="526"/>
      <c r="BF727" s="526"/>
      <c r="BG727" s="526"/>
    </row>
    <row r="728" spans="1:59" s="830" customFormat="1" ht="17.25" customHeight="1" x14ac:dyDescent="0.25">
      <c r="A728" s="865"/>
      <c r="B728" s="865"/>
      <c r="C728" s="908"/>
      <c r="G728" s="865"/>
      <c r="H728" s="874"/>
      <c r="I728" s="869"/>
      <c r="J728" s="869"/>
      <c r="K728" s="869"/>
      <c r="L728" s="869"/>
      <c r="M728" s="874"/>
      <c r="O728" s="874"/>
      <c r="P728" s="874"/>
      <c r="Q728" s="874"/>
      <c r="R728" s="874"/>
      <c r="S728" s="874"/>
      <c r="T728" s="874"/>
      <c r="W728" s="874"/>
      <c r="X728" s="874"/>
      <c r="Y728" s="874"/>
      <c r="Z728" s="874"/>
      <c r="AA728" s="874"/>
      <c r="AD728" s="526"/>
      <c r="AE728" s="526"/>
      <c r="AF728" s="526"/>
      <c r="AG728" s="526"/>
      <c r="AH728" s="526"/>
      <c r="AI728" s="526"/>
      <c r="AJ728" s="526"/>
      <c r="AK728" s="526"/>
      <c r="AL728" s="526"/>
      <c r="AM728" s="526"/>
      <c r="AN728" s="526"/>
      <c r="AO728" s="526"/>
      <c r="AP728" s="526"/>
      <c r="AQ728" s="526"/>
      <c r="AR728" s="526"/>
      <c r="AS728" s="526"/>
      <c r="AT728" s="526"/>
      <c r="AU728" s="526"/>
      <c r="AV728" s="526"/>
      <c r="AW728" s="526"/>
      <c r="AX728" s="526"/>
      <c r="AY728" s="526"/>
      <c r="AZ728" s="526"/>
      <c r="BA728" s="526"/>
      <c r="BB728" s="526"/>
      <c r="BC728" s="526"/>
      <c r="BD728" s="526"/>
      <c r="BE728" s="526"/>
      <c r="BF728" s="526"/>
      <c r="BG728" s="526"/>
    </row>
    <row r="729" spans="1:59" s="830" customFormat="1" ht="17.25" customHeight="1" x14ac:dyDescent="0.25">
      <c r="A729" s="865"/>
      <c r="B729" s="865"/>
      <c r="C729" s="908"/>
      <c r="G729" s="865"/>
      <c r="H729" s="874"/>
      <c r="I729" s="869"/>
      <c r="J729" s="869"/>
      <c r="K729" s="869"/>
      <c r="L729" s="869"/>
      <c r="M729" s="874"/>
      <c r="O729" s="874"/>
      <c r="P729" s="874"/>
      <c r="Q729" s="874"/>
      <c r="R729" s="874"/>
      <c r="S729" s="874"/>
      <c r="T729" s="874"/>
      <c r="W729" s="874"/>
      <c r="X729" s="874"/>
      <c r="Y729" s="874"/>
      <c r="Z729" s="874"/>
      <c r="AA729" s="874"/>
      <c r="AD729" s="526"/>
      <c r="AE729" s="526"/>
      <c r="AF729" s="526"/>
      <c r="AG729" s="526"/>
      <c r="AH729" s="526"/>
      <c r="AI729" s="526"/>
      <c r="AJ729" s="526"/>
      <c r="AK729" s="526"/>
      <c r="AL729" s="526"/>
      <c r="AM729" s="526"/>
      <c r="AN729" s="526"/>
      <c r="AO729" s="526"/>
      <c r="AP729" s="526"/>
      <c r="AQ729" s="526"/>
      <c r="AR729" s="526"/>
      <c r="AS729" s="526"/>
      <c r="AT729" s="526"/>
      <c r="AU729" s="526"/>
      <c r="AV729" s="526"/>
      <c r="AW729" s="526"/>
      <c r="AX729" s="526"/>
      <c r="AY729" s="526"/>
      <c r="AZ729" s="526"/>
      <c r="BA729" s="526"/>
      <c r="BB729" s="526"/>
      <c r="BC729" s="526"/>
      <c r="BD729" s="526"/>
      <c r="BE729" s="526"/>
      <c r="BF729" s="526"/>
      <c r="BG729" s="526"/>
    </row>
    <row r="730" spans="1:59" s="830" customFormat="1" ht="17.25" customHeight="1" x14ac:dyDescent="0.25">
      <c r="A730" s="865"/>
      <c r="B730" s="865"/>
      <c r="C730" s="908"/>
      <c r="G730" s="865"/>
      <c r="H730" s="874"/>
      <c r="I730" s="869"/>
      <c r="J730" s="869"/>
      <c r="K730" s="869"/>
      <c r="L730" s="869"/>
      <c r="M730" s="874"/>
      <c r="O730" s="874"/>
      <c r="P730" s="874"/>
      <c r="Q730" s="874"/>
      <c r="R730" s="874"/>
      <c r="S730" s="874"/>
      <c r="T730" s="874"/>
      <c r="W730" s="874"/>
      <c r="X730" s="874"/>
      <c r="Y730" s="874"/>
      <c r="Z730" s="874"/>
      <c r="AA730" s="874"/>
      <c r="AD730" s="526"/>
      <c r="AE730" s="526"/>
      <c r="AF730" s="526"/>
      <c r="AG730" s="526"/>
      <c r="AH730" s="526"/>
      <c r="AI730" s="526"/>
      <c r="AJ730" s="526"/>
      <c r="AK730" s="526"/>
      <c r="AL730" s="526"/>
      <c r="AM730" s="526"/>
      <c r="AN730" s="526"/>
      <c r="AO730" s="526"/>
      <c r="AP730" s="526"/>
      <c r="AQ730" s="526"/>
      <c r="AR730" s="526"/>
      <c r="AS730" s="526"/>
      <c r="AT730" s="526"/>
      <c r="AU730" s="526"/>
      <c r="AV730" s="526"/>
      <c r="AW730" s="526"/>
      <c r="AX730" s="526"/>
      <c r="AY730" s="526"/>
      <c r="AZ730" s="526"/>
      <c r="BA730" s="526"/>
      <c r="BB730" s="526"/>
      <c r="BC730" s="526"/>
      <c r="BD730" s="526"/>
      <c r="BE730" s="526"/>
      <c r="BF730" s="526"/>
      <c r="BG730" s="526"/>
    </row>
    <row r="731" spans="1:59" s="830" customFormat="1" ht="17.25" customHeight="1" x14ac:dyDescent="0.25">
      <c r="A731" s="865"/>
      <c r="B731" s="865"/>
      <c r="C731" s="908"/>
      <c r="G731" s="865"/>
      <c r="H731" s="874"/>
      <c r="I731" s="869"/>
      <c r="J731" s="869"/>
      <c r="K731" s="869"/>
      <c r="L731" s="869"/>
      <c r="M731" s="874"/>
      <c r="O731" s="874"/>
      <c r="P731" s="874"/>
      <c r="Q731" s="874"/>
      <c r="R731" s="874"/>
      <c r="S731" s="874"/>
      <c r="T731" s="874"/>
      <c r="W731" s="874"/>
      <c r="X731" s="874"/>
      <c r="Y731" s="874"/>
      <c r="Z731" s="874"/>
      <c r="AA731" s="874"/>
      <c r="AD731" s="526"/>
      <c r="AE731" s="526"/>
      <c r="AF731" s="526"/>
      <c r="AG731" s="526"/>
      <c r="AH731" s="526"/>
      <c r="AI731" s="526"/>
      <c r="AJ731" s="526"/>
      <c r="AK731" s="526"/>
      <c r="AL731" s="526"/>
      <c r="AM731" s="526"/>
      <c r="AN731" s="526"/>
      <c r="AO731" s="526"/>
      <c r="AP731" s="526"/>
      <c r="AQ731" s="526"/>
      <c r="AR731" s="526"/>
      <c r="AS731" s="526"/>
      <c r="AT731" s="526"/>
      <c r="AU731" s="526"/>
      <c r="AV731" s="526"/>
      <c r="AW731" s="526"/>
      <c r="AX731" s="526"/>
      <c r="AY731" s="526"/>
      <c r="AZ731" s="526"/>
      <c r="BA731" s="526"/>
      <c r="BB731" s="526"/>
      <c r="BC731" s="526"/>
      <c r="BD731" s="526"/>
      <c r="BE731" s="526"/>
      <c r="BF731" s="526"/>
      <c r="BG731" s="526"/>
    </row>
    <row r="732" spans="1:59" s="830" customFormat="1" ht="17.25" customHeight="1" x14ac:dyDescent="0.25">
      <c r="A732" s="865"/>
      <c r="B732" s="865"/>
      <c r="C732" s="908"/>
      <c r="G732" s="865"/>
      <c r="H732" s="874"/>
      <c r="I732" s="869"/>
      <c r="J732" s="869"/>
      <c r="K732" s="869"/>
      <c r="L732" s="869"/>
      <c r="M732" s="874"/>
      <c r="O732" s="874"/>
      <c r="P732" s="874"/>
      <c r="Q732" s="874"/>
      <c r="R732" s="874"/>
      <c r="S732" s="874"/>
      <c r="T732" s="874"/>
      <c r="W732" s="874"/>
      <c r="X732" s="874"/>
      <c r="Y732" s="874"/>
      <c r="Z732" s="874"/>
      <c r="AA732" s="874"/>
      <c r="AD732" s="526"/>
      <c r="AE732" s="526"/>
      <c r="AF732" s="526"/>
      <c r="AG732" s="526"/>
      <c r="AH732" s="526"/>
      <c r="AI732" s="526"/>
      <c r="AJ732" s="526"/>
      <c r="AK732" s="526"/>
      <c r="AL732" s="526"/>
      <c r="AM732" s="526"/>
      <c r="AN732" s="526"/>
      <c r="AO732" s="526"/>
      <c r="AP732" s="526"/>
      <c r="AQ732" s="526"/>
      <c r="AR732" s="526"/>
      <c r="AS732" s="526"/>
      <c r="AT732" s="526"/>
      <c r="AU732" s="526"/>
      <c r="AV732" s="526"/>
      <c r="AW732" s="526"/>
      <c r="AX732" s="526"/>
      <c r="AY732" s="526"/>
      <c r="AZ732" s="526"/>
      <c r="BA732" s="526"/>
      <c r="BB732" s="526"/>
      <c r="BC732" s="526"/>
      <c r="BD732" s="526"/>
      <c r="BE732" s="526"/>
      <c r="BF732" s="526"/>
      <c r="BG732" s="526"/>
    </row>
    <row r="733" spans="1:59" s="830" customFormat="1" ht="17.25" customHeight="1" x14ac:dyDescent="0.25">
      <c r="A733" s="865"/>
      <c r="B733" s="865"/>
      <c r="C733" s="908"/>
      <c r="G733" s="865"/>
      <c r="H733" s="874"/>
      <c r="I733" s="869"/>
      <c r="J733" s="869"/>
      <c r="K733" s="869"/>
      <c r="L733" s="869"/>
      <c r="M733" s="874"/>
      <c r="O733" s="874"/>
      <c r="P733" s="874"/>
      <c r="Q733" s="874"/>
      <c r="R733" s="874"/>
      <c r="S733" s="874"/>
      <c r="T733" s="874"/>
      <c r="W733" s="874"/>
      <c r="X733" s="874"/>
      <c r="Y733" s="874"/>
      <c r="Z733" s="874"/>
      <c r="AA733" s="874"/>
      <c r="AD733" s="526"/>
      <c r="AE733" s="526"/>
      <c r="AF733" s="526"/>
      <c r="AG733" s="526"/>
      <c r="AH733" s="526"/>
      <c r="AI733" s="526"/>
      <c r="AJ733" s="526"/>
      <c r="AK733" s="526"/>
      <c r="AL733" s="526"/>
      <c r="AM733" s="526"/>
      <c r="AN733" s="526"/>
      <c r="AO733" s="526"/>
      <c r="AP733" s="526"/>
      <c r="AQ733" s="526"/>
      <c r="AR733" s="526"/>
      <c r="AS733" s="526"/>
      <c r="AT733" s="526"/>
      <c r="AU733" s="526"/>
      <c r="AV733" s="526"/>
      <c r="AW733" s="526"/>
      <c r="AX733" s="526"/>
      <c r="AY733" s="526"/>
      <c r="AZ733" s="526"/>
      <c r="BA733" s="526"/>
      <c r="BB733" s="526"/>
      <c r="BC733" s="526"/>
      <c r="BD733" s="526"/>
      <c r="BE733" s="526"/>
      <c r="BF733" s="526"/>
      <c r="BG733" s="526"/>
    </row>
    <row r="734" spans="1:59" s="830" customFormat="1" ht="17.25" customHeight="1" x14ac:dyDescent="0.25">
      <c r="A734" s="865"/>
      <c r="B734" s="865"/>
      <c r="C734" s="908"/>
      <c r="G734" s="865"/>
      <c r="H734" s="874"/>
      <c r="I734" s="869"/>
      <c r="J734" s="869"/>
      <c r="K734" s="869"/>
      <c r="L734" s="869"/>
      <c r="M734" s="874"/>
      <c r="O734" s="874"/>
      <c r="P734" s="874"/>
      <c r="Q734" s="874"/>
      <c r="R734" s="874"/>
      <c r="S734" s="874"/>
      <c r="T734" s="874"/>
      <c r="W734" s="874"/>
      <c r="X734" s="874"/>
      <c r="Y734" s="874"/>
      <c r="Z734" s="874"/>
      <c r="AA734" s="874"/>
      <c r="AD734" s="526"/>
      <c r="AE734" s="526"/>
      <c r="AF734" s="526"/>
      <c r="AG734" s="526"/>
      <c r="AH734" s="526"/>
      <c r="AI734" s="526"/>
      <c r="AJ734" s="526"/>
      <c r="AK734" s="526"/>
      <c r="AL734" s="526"/>
      <c r="AM734" s="526"/>
      <c r="AN734" s="526"/>
      <c r="AO734" s="526"/>
      <c r="AP734" s="526"/>
      <c r="AQ734" s="526"/>
      <c r="AR734" s="526"/>
      <c r="AS734" s="526"/>
      <c r="AT734" s="526"/>
      <c r="AU734" s="526"/>
      <c r="AV734" s="526"/>
      <c r="AW734" s="526"/>
      <c r="AX734" s="526"/>
      <c r="AY734" s="526"/>
      <c r="AZ734" s="526"/>
      <c r="BA734" s="526"/>
      <c r="BB734" s="526"/>
      <c r="BC734" s="526"/>
      <c r="BD734" s="526"/>
      <c r="BE734" s="526"/>
      <c r="BF734" s="526"/>
      <c r="BG734" s="526"/>
    </row>
    <row r="735" spans="1:59" s="830" customFormat="1" ht="17.25" customHeight="1" x14ac:dyDescent="0.25">
      <c r="A735" s="865"/>
      <c r="B735" s="865"/>
      <c r="C735" s="908"/>
      <c r="G735" s="865"/>
      <c r="H735" s="874"/>
      <c r="I735" s="869"/>
      <c r="J735" s="869"/>
      <c r="K735" s="869"/>
      <c r="L735" s="869"/>
      <c r="M735" s="874"/>
      <c r="O735" s="874"/>
      <c r="P735" s="874"/>
      <c r="Q735" s="874"/>
      <c r="R735" s="874"/>
      <c r="S735" s="874"/>
      <c r="T735" s="874"/>
      <c r="W735" s="874"/>
      <c r="X735" s="874"/>
      <c r="Y735" s="874"/>
      <c r="Z735" s="874"/>
      <c r="AA735" s="874"/>
      <c r="AD735" s="526"/>
      <c r="AE735" s="526"/>
      <c r="AF735" s="526"/>
      <c r="AG735" s="526"/>
      <c r="AH735" s="526"/>
      <c r="AI735" s="526"/>
      <c r="AJ735" s="526"/>
      <c r="AK735" s="526"/>
      <c r="AL735" s="526"/>
      <c r="AM735" s="526"/>
      <c r="AN735" s="526"/>
      <c r="AO735" s="526"/>
      <c r="AP735" s="526"/>
      <c r="AQ735" s="526"/>
      <c r="AR735" s="526"/>
      <c r="AS735" s="526"/>
      <c r="AT735" s="526"/>
      <c r="AU735" s="526"/>
      <c r="AV735" s="526"/>
      <c r="AW735" s="526"/>
      <c r="AX735" s="526"/>
      <c r="AY735" s="526"/>
      <c r="AZ735" s="526"/>
      <c r="BA735" s="526"/>
      <c r="BB735" s="526"/>
      <c r="BC735" s="526"/>
      <c r="BD735" s="526"/>
      <c r="BE735" s="526"/>
      <c r="BF735" s="526"/>
      <c r="BG735" s="526"/>
    </row>
    <row r="736" spans="1:59" s="830" customFormat="1" ht="17.25" customHeight="1" x14ac:dyDescent="0.25">
      <c r="A736" s="865"/>
      <c r="B736" s="865"/>
      <c r="C736" s="908"/>
      <c r="G736" s="865"/>
      <c r="H736" s="874"/>
      <c r="I736" s="869"/>
      <c r="J736" s="869"/>
      <c r="K736" s="869"/>
      <c r="L736" s="869"/>
      <c r="M736" s="874"/>
      <c r="O736" s="874"/>
      <c r="P736" s="874"/>
      <c r="Q736" s="874"/>
      <c r="R736" s="874"/>
      <c r="S736" s="874"/>
      <c r="T736" s="874"/>
      <c r="W736" s="874"/>
      <c r="X736" s="874"/>
      <c r="Y736" s="874"/>
      <c r="Z736" s="874"/>
      <c r="AA736" s="874"/>
      <c r="AD736" s="526"/>
      <c r="AE736" s="526"/>
      <c r="AF736" s="526"/>
      <c r="AG736" s="526"/>
      <c r="AH736" s="526"/>
      <c r="AI736" s="526"/>
      <c r="AJ736" s="526"/>
      <c r="AK736" s="526"/>
      <c r="AL736" s="526"/>
      <c r="AM736" s="526"/>
      <c r="AN736" s="526"/>
      <c r="AO736" s="526"/>
      <c r="AP736" s="526"/>
      <c r="AQ736" s="526"/>
      <c r="AR736" s="526"/>
      <c r="AS736" s="526"/>
      <c r="AT736" s="526"/>
      <c r="AU736" s="526"/>
      <c r="AV736" s="526"/>
      <c r="AW736" s="526"/>
      <c r="AX736" s="526"/>
      <c r="AY736" s="526"/>
      <c r="AZ736" s="526"/>
      <c r="BA736" s="526"/>
      <c r="BB736" s="526"/>
      <c r="BC736" s="526"/>
      <c r="BD736" s="526"/>
      <c r="BE736" s="526"/>
      <c r="BF736" s="526"/>
      <c r="BG736" s="526"/>
    </row>
    <row r="737" spans="1:59" s="830" customFormat="1" ht="17.25" customHeight="1" x14ac:dyDescent="0.25">
      <c r="A737" s="865"/>
      <c r="B737" s="865"/>
      <c r="C737" s="908"/>
      <c r="G737" s="865"/>
      <c r="H737" s="874"/>
      <c r="I737" s="869"/>
      <c r="J737" s="869"/>
      <c r="K737" s="869"/>
      <c r="L737" s="869"/>
      <c r="M737" s="874"/>
      <c r="O737" s="874"/>
      <c r="P737" s="874"/>
      <c r="Q737" s="874"/>
      <c r="R737" s="874"/>
      <c r="S737" s="874"/>
      <c r="T737" s="874"/>
      <c r="W737" s="874"/>
      <c r="X737" s="874"/>
      <c r="Y737" s="874"/>
      <c r="Z737" s="874"/>
      <c r="AA737" s="874"/>
      <c r="AD737" s="526"/>
      <c r="AE737" s="526"/>
      <c r="AF737" s="526"/>
      <c r="AG737" s="526"/>
      <c r="AH737" s="526"/>
      <c r="AI737" s="526"/>
      <c r="AJ737" s="526"/>
      <c r="AK737" s="526"/>
      <c r="AL737" s="526"/>
      <c r="AM737" s="526"/>
      <c r="AN737" s="526"/>
      <c r="AO737" s="526"/>
      <c r="AP737" s="526"/>
      <c r="AQ737" s="526"/>
      <c r="AR737" s="526"/>
      <c r="AS737" s="526"/>
      <c r="AT737" s="526"/>
      <c r="AU737" s="526"/>
      <c r="AV737" s="526"/>
      <c r="AW737" s="526"/>
      <c r="AX737" s="526"/>
      <c r="AY737" s="526"/>
      <c r="AZ737" s="526"/>
      <c r="BA737" s="526"/>
      <c r="BB737" s="526"/>
      <c r="BC737" s="526"/>
      <c r="BD737" s="526"/>
      <c r="BE737" s="526"/>
      <c r="BF737" s="526"/>
      <c r="BG737" s="526"/>
    </row>
    <row r="738" spans="1:59" s="830" customFormat="1" ht="17.25" customHeight="1" x14ac:dyDescent="0.25">
      <c r="A738" s="865"/>
      <c r="B738" s="865"/>
      <c r="C738" s="908"/>
      <c r="G738" s="865"/>
      <c r="H738" s="874"/>
      <c r="I738" s="869"/>
      <c r="J738" s="869"/>
      <c r="K738" s="869"/>
      <c r="L738" s="869"/>
      <c r="M738" s="874"/>
      <c r="O738" s="874"/>
      <c r="P738" s="874"/>
      <c r="Q738" s="874"/>
      <c r="R738" s="874"/>
      <c r="S738" s="874"/>
      <c r="T738" s="874"/>
      <c r="W738" s="874"/>
      <c r="X738" s="874"/>
      <c r="Y738" s="874"/>
      <c r="Z738" s="874"/>
      <c r="AA738" s="874"/>
      <c r="AD738" s="526"/>
      <c r="AE738" s="526"/>
      <c r="AF738" s="526"/>
      <c r="AG738" s="526"/>
      <c r="AH738" s="526"/>
      <c r="AI738" s="526"/>
      <c r="AJ738" s="526"/>
      <c r="AK738" s="526"/>
      <c r="AL738" s="526"/>
      <c r="AM738" s="526"/>
      <c r="AN738" s="526"/>
      <c r="AO738" s="526"/>
      <c r="AP738" s="526"/>
      <c r="AQ738" s="526"/>
      <c r="AR738" s="526"/>
      <c r="AS738" s="526"/>
      <c r="AT738" s="526"/>
      <c r="AU738" s="526"/>
      <c r="AV738" s="526"/>
      <c r="AW738" s="526"/>
      <c r="AX738" s="526"/>
      <c r="AY738" s="526"/>
      <c r="AZ738" s="526"/>
      <c r="BA738" s="526"/>
      <c r="BB738" s="526"/>
      <c r="BC738" s="526"/>
      <c r="BD738" s="526"/>
      <c r="BE738" s="526"/>
      <c r="BF738" s="526"/>
      <c r="BG738" s="526"/>
    </row>
    <row r="739" spans="1:59" s="830" customFormat="1" ht="17.25" customHeight="1" x14ac:dyDescent="0.25">
      <c r="A739" s="865"/>
      <c r="B739" s="865"/>
      <c r="C739" s="908"/>
      <c r="G739" s="865"/>
      <c r="H739" s="874"/>
      <c r="I739" s="869"/>
      <c r="J739" s="869"/>
      <c r="K739" s="869"/>
      <c r="L739" s="869"/>
      <c r="M739" s="874"/>
      <c r="O739" s="874"/>
      <c r="P739" s="874"/>
      <c r="Q739" s="874"/>
      <c r="R739" s="874"/>
      <c r="S739" s="874"/>
      <c r="T739" s="874"/>
      <c r="W739" s="874"/>
      <c r="X739" s="874"/>
      <c r="Y739" s="874"/>
      <c r="Z739" s="874"/>
      <c r="AA739" s="874"/>
      <c r="AD739" s="526"/>
      <c r="AE739" s="526"/>
      <c r="AF739" s="526"/>
      <c r="AG739" s="526"/>
      <c r="AH739" s="526"/>
      <c r="AI739" s="526"/>
      <c r="AJ739" s="526"/>
      <c r="AK739" s="526"/>
      <c r="AL739" s="526"/>
      <c r="AM739" s="526"/>
      <c r="AN739" s="526"/>
      <c r="AO739" s="526"/>
      <c r="AP739" s="526"/>
      <c r="AQ739" s="526"/>
      <c r="AR739" s="526"/>
      <c r="AS739" s="526"/>
      <c r="AT739" s="526"/>
      <c r="AU739" s="526"/>
      <c r="AV739" s="526"/>
      <c r="AW739" s="526"/>
      <c r="AX739" s="526"/>
      <c r="AY739" s="526"/>
      <c r="AZ739" s="526"/>
      <c r="BA739" s="526"/>
      <c r="BB739" s="526"/>
      <c r="BC739" s="526"/>
      <c r="BD739" s="526"/>
      <c r="BE739" s="526"/>
      <c r="BF739" s="526"/>
      <c r="BG739" s="526"/>
    </row>
    <row r="740" spans="1:59" s="830" customFormat="1" ht="17.25" customHeight="1" x14ac:dyDescent="0.25">
      <c r="A740" s="865"/>
      <c r="B740" s="865"/>
      <c r="C740" s="908"/>
      <c r="G740" s="865"/>
      <c r="H740" s="874"/>
      <c r="I740" s="869"/>
      <c r="J740" s="869"/>
      <c r="K740" s="869"/>
      <c r="L740" s="869"/>
      <c r="M740" s="874"/>
      <c r="O740" s="874"/>
      <c r="P740" s="874"/>
      <c r="Q740" s="874"/>
      <c r="R740" s="874"/>
      <c r="S740" s="874"/>
      <c r="T740" s="874"/>
      <c r="W740" s="874"/>
      <c r="X740" s="874"/>
      <c r="Y740" s="874"/>
      <c r="Z740" s="874"/>
      <c r="AA740" s="874"/>
      <c r="AD740" s="526"/>
      <c r="AE740" s="526"/>
      <c r="AF740" s="526"/>
      <c r="AG740" s="526"/>
      <c r="AH740" s="526"/>
      <c r="AI740" s="526"/>
      <c r="AJ740" s="526"/>
      <c r="AK740" s="526"/>
      <c r="AL740" s="526"/>
      <c r="AM740" s="526"/>
      <c r="AN740" s="526"/>
      <c r="AO740" s="526"/>
      <c r="AP740" s="526"/>
      <c r="AQ740" s="526"/>
      <c r="AR740" s="526"/>
      <c r="AS740" s="526"/>
      <c r="AT740" s="526"/>
      <c r="AU740" s="526"/>
      <c r="AV740" s="526"/>
      <c r="AW740" s="526"/>
      <c r="AX740" s="526"/>
      <c r="AY740" s="526"/>
      <c r="AZ740" s="526"/>
      <c r="BA740" s="526"/>
      <c r="BB740" s="526"/>
      <c r="BC740" s="526"/>
      <c r="BD740" s="526"/>
      <c r="BE740" s="526"/>
      <c r="BF740" s="526"/>
      <c r="BG740" s="526"/>
    </row>
    <row r="741" spans="1:59" s="830" customFormat="1" ht="17.25" customHeight="1" x14ac:dyDescent="0.25">
      <c r="A741" s="865"/>
      <c r="B741" s="865"/>
      <c r="C741" s="908"/>
      <c r="G741" s="865"/>
      <c r="H741" s="874"/>
      <c r="I741" s="869"/>
      <c r="J741" s="869"/>
      <c r="K741" s="869"/>
      <c r="L741" s="869"/>
      <c r="M741" s="874"/>
      <c r="O741" s="874"/>
      <c r="P741" s="874"/>
      <c r="Q741" s="874"/>
      <c r="R741" s="874"/>
      <c r="S741" s="874"/>
      <c r="T741" s="874"/>
      <c r="W741" s="874"/>
      <c r="X741" s="874"/>
      <c r="Y741" s="874"/>
      <c r="Z741" s="874"/>
      <c r="AA741" s="874"/>
      <c r="AD741" s="526"/>
      <c r="AE741" s="526"/>
      <c r="AF741" s="526"/>
      <c r="AG741" s="526"/>
      <c r="AH741" s="526"/>
      <c r="AI741" s="526"/>
      <c r="AJ741" s="526"/>
      <c r="AK741" s="526"/>
      <c r="AL741" s="526"/>
      <c r="AM741" s="526"/>
      <c r="AN741" s="526"/>
      <c r="AO741" s="526"/>
      <c r="AP741" s="526"/>
      <c r="AQ741" s="526"/>
      <c r="AR741" s="526"/>
      <c r="AS741" s="526"/>
      <c r="AT741" s="526"/>
      <c r="AU741" s="526"/>
      <c r="AV741" s="526"/>
      <c r="AW741" s="526"/>
      <c r="AX741" s="526"/>
      <c r="AY741" s="526"/>
      <c r="AZ741" s="526"/>
      <c r="BA741" s="526"/>
      <c r="BB741" s="526"/>
      <c r="BC741" s="526"/>
      <c r="BD741" s="526"/>
      <c r="BE741" s="526"/>
      <c r="BF741" s="526"/>
      <c r="BG741" s="526"/>
    </row>
    <row r="742" spans="1:59" s="830" customFormat="1" ht="17.25" customHeight="1" x14ac:dyDescent="0.25">
      <c r="A742" s="865"/>
      <c r="B742" s="865"/>
      <c r="C742" s="908"/>
      <c r="G742" s="865"/>
      <c r="H742" s="874"/>
      <c r="I742" s="869"/>
      <c r="J742" s="869"/>
      <c r="K742" s="869"/>
      <c r="L742" s="869"/>
      <c r="M742" s="874"/>
      <c r="O742" s="874"/>
      <c r="P742" s="874"/>
      <c r="Q742" s="874"/>
      <c r="R742" s="874"/>
      <c r="S742" s="874"/>
      <c r="T742" s="874"/>
      <c r="W742" s="874"/>
      <c r="X742" s="874"/>
      <c r="Y742" s="874"/>
      <c r="Z742" s="874"/>
      <c r="AA742" s="874"/>
      <c r="AD742" s="526"/>
      <c r="AE742" s="526"/>
      <c r="AF742" s="526"/>
      <c r="AG742" s="526"/>
      <c r="AH742" s="526"/>
      <c r="AI742" s="526"/>
      <c r="AJ742" s="526"/>
      <c r="AK742" s="526"/>
      <c r="AL742" s="526"/>
      <c r="AM742" s="526"/>
      <c r="AN742" s="526"/>
      <c r="AO742" s="526"/>
      <c r="AP742" s="526"/>
      <c r="AQ742" s="526"/>
      <c r="AR742" s="526"/>
      <c r="AS742" s="526"/>
      <c r="AT742" s="526"/>
      <c r="AU742" s="526"/>
      <c r="AV742" s="526"/>
      <c r="AW742" s="526"/>
      <c r="AX742" s="526"/>
      <c r="AY742" s="526"/>
      <c r="AZ742" s="526"/>
      <c r="BA742" s="526"/>
      <c r="BB742" s="526"/>
      <c r="BC742" s="526"/>
      <c r="BD742" s="526"/>
      <c r="BE742" s="526"/>
      <c r="BF742" s="526"/>
      <c r="BG742" s="526"/>
    </row>
    <row r="743" spans="1:59" s="830" customFormat="1" ht="17.25" customHeight="1" x14ac:dyDescent="0.25">
      <c r="A743" s="865"/>
      <c r="B743" s="865"/>
      <c r="C743" s="908"/>
      <c r="G743" s="865"/>
      <c r="H743" s="874"/>
      <c r="I743" s="869"/>
      <c r="J743" s="869"/>
      <c r="K743" s="869"/>
      <c r="L743" s="869"/>
      <c r="M743" s="874"/>
      <c r="O743" s="874"/>
      <c r="P743" s="874"/>
      <c r="Q743" s="874"/>
      <c r="R743" s="874"/>
      <c r="S743" s="874"/>
      <c r="T743" s="874"/>
      <c r="W743" s="874"/>
      <c r="X743" s="874"/>
      <c r="Y743" s="874"/>
      <c r="Z743" s="874"/>
      <c r="AA743" s="874"/>
      <c r="AD743" s="526"/>
      <c r="AE743" s="526"/>
      <c r="AF743" s="526"/>
      <c r="AG743" s="526"/>
      <c r="AH743" s="526"/>
      <c r="AI743" s="526"/>
      <c r="AJ743" s="526"/>
      <c r="AK743" s="526"/>
      <c r="AL743" s="526"/>
      <c r="AM743" s="526"/>
      <c r="AN743" s="526"/>
      <c r="AO743" s="526"/>
      <c r="AP743" s="526"/>
      <c r="AQ743" s="526"/>
      <c r="AR743" s="526"/>
      <c r="AS743" s="526"/>
      <c r="AT743" s="526"/>
      <c r="AU743" s="526"/>
      <c r="AV743" s="526"/>
      <c r="AW743" s="526"/>
      <c r="AX743" s="526"/>
      <c r="AY743" s="526"/>
      <c r="AZ743" s="526"/>
      <c r="BA743" s="526"/>
      <c r="BB743" s="526"/>
      <c r="BC743" s="526"/>
      <c r="BD743" s="526"/>
      <c r="BE743" s="526"/>
      <c r="BF743" s="526"/>
      <c r="BG743" s="526"/>
    </row>
    <row r="744" spans="1:59" s="830" customFormat="1" ht="17.25" customHeight="1" x14ac:dyDescent="0.25">
      <c r="A744" s="865"/>
      <c r="B744" s="865"/>
      <c r="C744" s="908"/>
      <c r="G744" s="865"/>
      <c r="H744" s="874"/>
      <c r="I744" s="869"/>
      <c r="J744" s="869"/>
      <c r="K744" s="869"/>
      <c r="L744" s="869"/>
      <c r="M744" s="874"/>
      <c r="O744" s="874"/>
      <c r="P744" s="874"/>
      <c r="Q744" s="874"/>
      <c r="R744" s="874"/>
      <c r="S744" s="874"/>
      <c r="T744" s="874"/>
      <c r="W744" s="874"/>
      <c r="X744" s="874"/>
      <c r="Y744" s="874"/>
      <c r="Z744" s="874"/>
      <c r="AA744" s="874"/>
      <c r="AD744" s="526"/>
      <c r="AE744" s="526"/>
      <c r="AF744" s="526"/>
      <c r="AG744" s="526"/>
      <c r="AH744" s="526"/>
      <c r="AI744" s="526"/>
      <c r="AJ744" s="526"/>
      <c r="AK744" s="526"/>
      <c r="AL744" s="526"/>
      <c r="AM744" s="526"/>
      <c r="AN744" s="526"/>
      <c r="AO744" s="526"/>
      <c r="AP744" s="526"/>
      <c r="AQ744" s="526"/>
      <c r="AR744" s="526"/>
      <c r="AS744" s="526"/>
      <c r="AT744" s="526"/>
      <c r="AU744" s="526"/>
      <c r="AV744" s="526"/>
      <c r="AW744" s="526"/>
      <c r="AX744" s="526"/>
      <c r="AY744" s="526"/>
      <c r="AZ744" s="526"/>
      <c r="BA744" s="526"/>
      <c r="BB744" s="526"/>
      <c r="BC744" s="526"/>
      <c r="BD744" s="526"/>
      <c r="BE744" s="526"/>
      <c r="BF744" s="526"/>
      <c r="BG744" s="526"/>
    </row>
    <row r="745" spans="1:59" s="830" customFormat="1" ht="17.25" customHeight="1" x14ac:dyDescent="0.25">
      <c r="A745" s="865"/>
      <c r="B745" s="865"/>
      <c r="C745" s="908"/>
      <c r="G745" s="865"/>
      <c r="H745" s="874"/>
      <c r="I745" s="869"/>
      <c r="J745" s="869"/>
      <c r="K745" s="869"/>
      <c r="L745" s="869"/>
      <c r="M745" s="874"/>
      <c r="O745" s="874"/>
      <c r="P745" s="874"/>
      <c r="Q745" s="874"/>
      <c r="R745" s="874"/>
      <c r="S745" s="874"/>
      <c r="T745" s="874"/>
      <c r="W745" s="874"/>
      <c r="X745" s="874"/>
      <c r="Y745" s="874"/>
      <c r="Z745" s="874"/>
      <c r="AA745" s="874"/>
      <c r="AD745" s="526"/>
      <c r="AE745" s="526"/>
      <c r="AF745" s="526"/>
      <c r="AG745" s="526"/>
      <c r="AH745" s="526"/>
      <c r="AI745" s="526"/>
      <c r="AJ745" s="526"/>
      <c r="AK745" s="526"/>
      <c r="AL745" s="526"/>
      <c r="AM745" s="526"/>
      <c r="AN745" s="526"/>
      <c r="AO745" s="526"/>
      <c r="AP745" s="526"/>
      <c r="AQ745" s="526"/>
      <c r="AR745" s="526"/>
      <c r="AS745" s="526"/>
      <c r="AT745" s="526"/>
      <c r="AU745" s="526"/>
      <c r="AV745" s="526"/>
      <c r="AW745" s="526"/>
      <c r="AX745" s="526"/>
      <c r="AY745" s="526"/>
      <c r="AZ745" s="526"/>
      <c r="BA745" s="526"/>
      <c r="BB745" s="526"/>
      <c r="BC745" s="526"/>
      <c r="BD745" s="526"/>
      <c r="BE745" s="526"/>
      <c r="BF745" s="526"/>
      <c r="BG745" s="526"/>
    </row>
    <row r="746" spans="1:59" s="830" customFormat="1" ht="17.25" customHeight="1" x14ac:dyDescent="0.25">
      <c r="A746" s="865"/>
      <c r="B746" s="865"/>
      <c r="C746" s="908"/>
      <c r="G746" s="865"/>
      <c r="H746" s="874"/>
      <c r="I746" s="869"/>
      <c r="J746" s="869"/>
      <c r="K746" s="869"/>
      <c r="L746" s="869"/>
      <c r="M746" s="874"/>
      <c r="O746" s="874"/>
      <c r="P746" s="874"/>
      <c r="Q746" s="874"/>
      <c r="R746" s="874"/>
      <c r="S746" s="874"/>
      <c r="T746" s="874"/>
      <c r="W746" s="874"/>
      <c r="X746" s="874"/>
      <c r="Y746" s="874"/>
      <c r="Z746" s="874"/>
      <c r="AA746" s="874"/>
      <c r="AD746" s="526"/>
      <c r="AE746" s="526"/>
      <c r="AF746" s="526"/>
      <c r="AG746" s="526"/>
      <c r="AH746" s="526"/>
      <c r="AI746" s="526"/>
      <c r="AJ746" s="526"/>
      <c r="AK746" s="526"/>
      <c r="AL746" s="526"/>
      <c r="AM746" s="526"/>
      <c r="AN746" s="526"/>
      <c r="AO746" s="526"/>
      <c r="AP746" s="526"/>
      <c r="AQ746" s="526"/>
      <c r="AR746" s="526"/>
      <c r="AS746" s="526"/>
      <c r="AT746" s="526"/>
      <c r="AU746" s="526"/>
      <c r="AV746" s="526"/>
      <c r="AW746" s="526"/>
      <c r="AX746" s="526"/>
      <c r="AY746" s="526"/>
      <c r="AZ746" s="526"/>
      <c r="BA746" s="526"/>
      <c r="BB746" s="526"/>
      <c r="BC746" s="526"/>
      <c r="BD746" s="526"/>
      <c r="BE746" s="526"/>
      <c r="BF746" s="526"/>
      <c r="BG746" s="526"/>
    </row>
    <row r="747" spans="1:59" s="830" customFormat="1" ht="17.25" customHeight="1" x14ac:dyDescent="0.25">
      <c r="A747" s="865"/>
      <c r="B747" s="865"/>
      <c r="C747" s="908"/>
      <c r="G747" s="865"/>
      <c r="H747" s="874"/>
      <c r="I747" s="869"/>
      <c r="J747" s="869"/>
      <c r="K747" s="869"/>
      <c r="L747" s="869"/>
      <c r="M747" s="874"/>
      <c r="O747" s="874"/>
      <c r="P747" s="874"/>
      <c r="Q747" s="874"/>
      <c r="R747" s="874"/>
      <c r="S747" s="874"/>
      <c r="T747" s="874"/>
      <c r="W747" s="874"/>
      <c r="X747" s="874"/>
      <c r="Y747" s="874"/>
      <c r="Z747" s="874"/>
      <c r="AA747" s="874"/>
      <c r="AD747" s="526"/>
      <c r="AE747" s="526"/>
      <c r="AF747" s="526"/>
      <c r="AG747" s="526"/>
      <c r="AH747" s="526"/>
      <c r="AI747" s="526"/>
      <c r="AJ747" s="526"/>
      <c r="AK747" s="526"/>
      <c r="AL747" s="526"/>
      <c r="AM747" s="526"/>
      <c r="AN747" s="526"/>
      <c r="AO747" s="526"/>
      <c r="AP747" s="526"/>
      <c r="AQ747" s="526"/>
      <c r="AR747" s="526"/>
      <c r="AS747" s="526"/>
      <c r="AT747" s="526"/>
      <c r="AU747" s="526"/>
      <c r="AV747" s="526"/>
      <c r="AW747" s="526"/>
      <c r="AX747" s="526"/>
      <c r="AY747" s="526"/>
      <c r="AZ747" s="526"/>
      <c r="BA747" s="526"/>
      <c r="BB747" s="526"/>
      <c r="BC747" s="526"/>
      <c r="BD747" s="526"/>
      <c r="BE747" s="526"/>
      <c r="BF747" s="526"/>
      <c r="BG747" s="526"/>
    </row>
    <row r="748" spans="1:59" s="830" customFormat="1" ht="17.25" customHeight="1" x14ac:dyDescent="0.25">
      <c r="A748" s="865"/>
      <c r="B748" s="865"/>
      <c r="C748" s="908"/>
      <c r="G748" s="865"/>
      <c r="H748" s="874"/>
      <c r="I748" s="869"/>
      <c r="J748" s="869"/>
      <c r="K748" s="869"/>
      <c r="L748" s="869"/>
      <c r="M748" s="874"/>
      <c r="O748" s="874"/>
      <c r="P748" s="874"/>
      <c r="Q748" s="874"/>
      <c r="R748" s="874"/>
      <c r="S748" s="874"/>
      <c r="T748" s="874"/>
      <c r="W748" s="874"/>
      <c r="X748" s="874"/>
      <c r="Y748" s="874"/>
      <c r="Z748" s="874"/>
      <c r="AA748" s="874"/>
      <c r="AD748" s="526"/>
      <c r="AE748" s="526"/>
      <c r="AF748" s="526"/>
      <c r="AG748" s="526"/>
      <c r="AH748" s="526"/>
      <c r="AI748" s="526"/>
      <c r="AJ748" s="526"/>
      <c r="AK748" s="526"/>
      <c r="AL748" s="526"/>
      <c r="AM748" s="526"/>
      <c r="AN748" s="526"/>
      <c r="AO748" s="526"/>
      <c r="AP748" s="526"/>
      <c r="AQ748" s="526"/>
      <c r="AR748" s="526"/>
      <c r="AS748" s="526"/>
      <c r="AT748" s="526"/>
      <c r="AU748" s="526"/>
      <c r="AV748" s="526"/>
      <c r="AW748" s="526"/>
      <c r="AX748" s="526"/>
      <c r="AY748" s="526"/>
      <c r="AZ748" s="526"/>
      <c r="BA748" s="526"/>
      <c r="BB748" s="526"/>
      <c r="BC748" s="526"/>
      <c r="BD748" s="526"/>
      <c r="BE748" s="526"/>
      <c r="BF748" s="526"/>
      <c r="BG748" s="526"/>
    </row>
    <row r="749" spans="1:59" s="830" customFormat="1" ht="17.25" customHeight="1" x14ac:dyDescent="0.25">
      <c r="A749" s="865"/>
      <c r="B749" s="865"/>
      <c r="C749" s="908"/>
      <c r="G749" s="865"/>
      <c r="H749" s="874"/>
      <c r="I749" s="869"/>
      <c r="J749" s="869"/>
      <c r="K749" s="869"/>
      <c r="L749" s="869"/>
      <c r="M749" s="874"/>
      <c r="O749" s="874"/>
      <c r="P749" s="874"/>
      <c r="Q749" s="874"/>
      <c r="R749" s="874"/>
      <c r="S749" s="874"/>
      <c r="T749" s="874"/>
      <c r="W749" s="874"/>
      <c r="X749" s="874"/>
      <c r="Y749" s="874"/>
      <c r="Z749" s="874"/>
      <c r="AA749" s="874"/>
      <c r="AD749" s="526"/>
      <c r="AE749" s="526"/>
      <c r="AF749" s="526"/>
      <c r="AG749" s="526"/>
      <c r="AH749" s="526"/>
      <c r="AI749" s="526"/>
      <c r="AJ749" s="526"/>
      <c r="AK749" s="526"/>
      <c r="AL749" s="526"/>
      <c r="AM749" s="526"/>
      <c r="AN749" s="526"/>
      <c r="AO749" s="526"/>
      <c r="AP749" s="526"/>
      <c r="AQ749" s="526"/>
      <c r="AR749" s="526"/>
      <c r="AS749" s="526"/>
      <c r="AT749" s="526"/>
      <c r="AU749" s="526"/>
      <c r="AV749" s="526"/>
      <c r="AW749" s="526"/>
      <c r="AX749" s="526"/>
      <c r="AY749" s="526"/>
      <c r="AZ749" s="526"/>
      <c r="BA749" s="526"/>
      <c r="BB749" s="526"/>
      <c r="BC749" s="526"/>
      <c r="BD749" s="526"/>
      <c r="BE749" s="526"/>
      <c r="BF749" s="526"/>
      <c r="BG749" s="526"/>
    </row>
    <row r="750" spans="1:59" s="830" customFormat="1" ht="17.25" customHeight="1" x14ac:dyDescent="0.25">
      <c r="A750" s="865"/>
      <c r="B750" s="865"/>
      <c r="C750" s="908"/>
      <c r="G750" s="865"/>
      <c r="H750" s="874"/>
      <c r="I750" s="869"/>
      <c r="J750" s="869"/>
      <c r="K750" s="869"/>
      <c r="L750" s="869"/>
      <c r="M750" s="874"/>
      <c r="O750" s="874"/>
      <c r="P750" s="874"/>
      <c r="Q750" s="874"/>
      <c r="R750" s="874"/>
      <c r="S750" s="874"/>
      <c r="T750" s="874"/>
      <c r="W750" s="874"/>
      <c r="X750" s="874"/>
      <c r="Y750" s="874"/>
      <c r="Z750" s="874"/>
      <c r="AA750" s="874"/>
      <c r="AD750" s="526"/>
      <c r="AE750" s="526"/>
      <c r="AF750" s="526"/>
      <c r="AG750" s="526"/>
      <c r="AH750" s="526"/>
      <c r="AI750" s="526"/>
      <c r="AJ750" s="526"/>
      <c r="AK750" s="526"/>
      <c r="AL750" s="526"/>
      <c r="AM750" s="526"/>
      <c r="AN750" s="526"/>
      <c r="AO750" s="526"/>
      <c r="AP750" s="526"/>
      <c r="AQ750" s="526"/>
      <c r="AR750" s="526"/>
      <c r="AS750" s="526"/>
      <c r="AT750" s="526"/>
      <c r="AU750" s="526"/>
      <c r="AV750" s="526"/>
      <c r="AW750" s="526"/>
      <c r="AX750" s="526"/>
      <c r="AY750" s="526"/>
      <c r="AZ750" s="526"/>
      <c r="BA750" s="526"/>
      <c r="BB750" s="526"/>
      <c r="BC750" s="526"/>
      <c r="BD750" s="526"/>
      <c r="BE750" s="526"/>
      <c r="BF750" s="526"/>
      <c r="BG750" s="526"/>
    </row>
    <row r="751" spans="1:59" s="830" customFormat="1" ht="17.25" customHeight="1" x14ac:dyDescent="0.25">
      <c r="A751" s="865"/>
      <c r="B751" s="865"/>
      <c r="C751" s="908"/>
      <c r="G751" s="865"/>
      <c r="H751" s="874"/>
      <c r="I751" s="869"/>
      <c r="J751" s="869"/>
      <c r="K751" s="869"/>
      <c r="L751" s="869"/>
      <c r="M751" s="874"/>
      <c r="O751" s="874"/>
      <c r="P751" s="874"/>
      <c r="Q751" s="874"/>
      <c r="R751" s="874"/>
      <c r="S751" s="874"/>
      <c r="T751" s="874"/>
      <c r="W751" s="874"/>
      <c r="X751" s="874"/>
      <c r="Y751" s="874"/>
      <c r="Z751" s="874"/>
      <c r="AA751" s="874"/>
      <c r="AD751" s="526"/>
      <c r="AE751" s="526"/>
      <c r="AF751" s="526"/>
      <c r="AG751" s="526"/>
      <c r="AH751" s="526"/>
      <c r="AI751" s="526"/>
      <c r="AJ751" s="526"/>
      <c r="AK751" s="526"/>
      <c r="AL751" s="526"/>
      <c r="AM751" s="526"/>
      <c r="AN751" s="526"/>
      <c r="AO751" s="526"/>
      <c r="AP751" s="526"/>
      <c r="AQ751" s="526"/>
      <c r="AR751" s="526"/>
      <c r="AS751" s="526"/>
      <c r="AT751" s="526"/>
      <c r="AU751" s="526"/>
      <c r="AV751" s="526"/>
      <c r="AW751" s="526"/>
      <c r="AX751" s="526"/>
      <c r="AY751" s="526"/>
      <c r="AZ751" s="526"/>
      <c r="BA751" s="526"/>
      <c r="BB751" s="526"/>
      <c r="BC751" s="526"/>
      <c r="BD751" s="526"/>
      <c r="BE751" s="526"/>
      <c r="BF751" s="526"/>
      <c r="BG751" s="526"/>
    </row>
    <row r="752" spans="1:59" s="830" customFormat="1" ht="17.25" customHeight="1" x14ac:dyDescent="0.25">
      <c r="A752" s="865"/>
      <c r="B752" s="865"/>
      <c r="C752" s="908"/>
      <c r="G752" s="865"/>
      <c r="H752" s="874"/>
      <c r="I752" s="869"/>
      <c r="J752" s="869"/>
      <c r="K752" s="869"/>
      <c r="L752" s="869"/>
      <c r="M752" s="874"/>
      <c r="O752" s="874"/>
      <c r="P752" s="874"/>
      <c r="Q752" s="874"/>
      <c r="R752" s="874"/>
      <c r="S752" s="874"/>
      <c r="T752" s="874"/>
      <c r="W752" s="874"/>
      <c r="X752" s="874"/>
      <c r="Y752" s="874"/>
      <c r="Z752" s="874"/>
      <c r="AA752" s="874"/>
      <c r="AD752" s="526"/>
      <c r="AE752" s="526"/>
      <c r="AF752" s="526"/>
      <c r="AG752" s="526"/>
      <c r="AH752" s="526"/>
      <c r="AI752" s="526"/>
      <c r="AJ752" s="526"/>
      <c r="AK752" s="526"/>
      <c r="AL752" s="526"/>
      <c r="AM752" s="526"/>
      <c r="AN752" s="526"/>
      <c r="AO752" s="526"/>
      <c r="AP752" s="526"/>
      <c r="AQ752" s="526"/>
      <c r="AR752" s="526"/>
      <c r="AS752" s="526"/>
      <c r="AT752" s="526"/>
      <c r="AU752" s="526"/>
      <c r="AV752" s="526"/>
      <c r="AW752" s="526"/>
      <c r="AX752" s="526"/>
      <c r="AY752" s="526"/>
      <c r="AZ752" s="526"/>
      <c r="BA752" s="526"/>
      <c r="BB752" s="526"/>
      <c r="BC752" s="526"/>
      <c r="BD752" s="526"/>
      <c r="BE752" s="526"/>
      <c r="BF752" s="526"/>
      <c r="BG752" s="526"/>
    </row>
    <row r="753" spans="1:59" s="830" customFormat="1" ht="17.25" customHeight="1" x14ac:dyDescent="0.25">
      <c r="A753" s="865"/>
      <c r="B753" s="865"/>
      <c r="C753" s="908"/>
      <c r="G753" s="865"/>
      <c r="H753" s="874"/>
      <c r="I753" s="869"/>
      <c r="J753" s="869"/>
      <c r="K753" s="869"/>
      <c r="L753" s="869"/>
      <c r="M753" s="874"/>
      <c r="O753" s="874"/>
      <c r="P753" s="874"/>
      <c r="Q753" s="874"/>
      <c r="R753" s="874"/>
      <c r="S753" s="874"/>
      <c r="T753" s="874"/>
      <c r="W753" s="874"/>
      <c r="X753" s="874"/>
      <c r="Y753" s="874"/>
      <c r="Z753" s="874"/>
      <c r="AA753" s="874"/>
      <c r="AD753" s="526"/>
      <c r="AE753" s="526"/>
      <c r="AF753" s="526"/>
      <c r="AG753" s="526"/>
      <c r="AH753" s="526"/>
      <c r="AI753" s="526"/>
      <c r="AJ753" s="526"/>
      <c r="AK753" s="526"/>
      <c r="AL753" s="526"/>
      <c r="AM753" s="526"/>
      <c r="AN753" s="526"/>
      <c r="AO753" s="526"/>
      <c r="AP753" s="526"/>
      <c r="AQ753" s="526"/>
      <c r="AR753" s="526"/>
      <c r="AS753" s="526"/>
      <c r="AT753" s="526"/>
      <c r="AU753" s="526"/>
      <c r="AV753" s="526"/>
      <c r="AW753" s="526"/>
      <c r="AX753" s="526"/>
      <c r="AY753" s="526"/>
      <c r="AZ753" s="526"/>
      <c r="BA753" s="526"/>
      <c r="BB753" s="526"/>
      <c r="BC753" s="526"/>
      <c r="BD753" s="526"/>
      <c r="BE753" s="526"/>
      <c r="BF753" s="526"/>
      <c r="BG753" s="526"/>
    </row>
    <row r="754" spans="1:59" s="830" customFormat="1" ht="17.25" customHeight="1" x14ac:dyDescent="0.25">
      <c r="A754" s="865"/>
      <c r="B754" s="865"/>
      <c r="C754" s="908"/>
      <c r="G754" s="865"/>
      <c r="H754" s="874"/>
      <c r="I754" s="869"/>
      <c r="J754" s="869"/>
      <c r="K754" s="869"/>
      <c r="L754" s="869"/>
      <c r="M754" s="874"/>
      <c r="O754" s="874"/>
      <c r="P754" s="874"/>
      <c r="Q754" s="874"/>
      <c r="R754" s="874"/>
      <c r="S754" s="874"/>
      <c r="T754" s="874"/>
      <c r="W754" s="874"/>
      <c r="X754" s="874"/>
      <c r="Y754" s="874"/>
      <c r="Z754" s="874"/>
      <c r="AA754" s="874"/>
      <c r="AD754" s="526"/>
      <c r="AE754" s="526"/>
      <c r="AF754" s="526"/>
      <c r="AG754" s="526"/>
      <c r="AH754" s="526"/>
      <c r="AI754" s="526"/>
      <c r="AJ754" s="526"/>
      <c r="AK754" s="526"/>
      <c r="AL754" s="526"/>
      <c r="AM754" s="526"/>
      <c r="AN754" s="526"/>
      <c r="AO754" s="526"/>
      <c r="AP754" s="526"/>
      <c r="AQ754" s="526"/>
      <c r="AR754" s="526"/>
      <c r="AS754" s="526"/>
      <c r="AT754" s="526"/>
      <c r="AU754" s="526"/>
      <c r="AV754" s="526"/>
      <c r="AW754" s="526"/>
      <c r="AX754" s="526"/>
      <c r="AY754" s="526"/>
      <c r="AZ754" s="526"/>
      <c r="BA754" s="526"/>
      <c r="BB754" s="526"/>
      <c r="BC754" s="526"/>
      <c r="BD754" s="526"/>
      <c r="BE754" s="526"/>
      <c r="BF754" s="526"/>
      <c r="BG754" s="526"/>
    </row>
    <row r="755" spans="1:59" s="830" customFormat="1" ht="17.25" customHeight="1" x14ac:dyDescent="0.25">
      <c r="A755" s="865"/>
      <c r="B755" s="865"/>
      <c r="C755" s="908"/>
      <c r="G755" s="865"/>
      <c r="H755" s="874"/>
      <c r="I755" s="869"/>
      <c r="J755" s="869"/>
      <c r="K755" s="869"/>
      <c r="L755" s="869"/>
      <c r="M755" s="874"/>
      <c r="O755" s="874"/>
      <c r="P755" s="874"/>
      <c r="Q755" s="874"/>
      <c r="R755" s="874"/>
      <c r="S755" s="874"/>
      <c r="T755" s="874"/>
      <c r="W755" s="874"/>
      <c r="X755" s="874"/>
      <c r="Y755" s="874"/>
      <c r="Z755" s="874"/>
      <c r="AA755" s="874"/>
      <c r="AD755" s="526"/>
      <c r="AE755" s="526"/>
      <c r="AF755" s="526"/>
      <c r="AG755" s="526"/>
      <c r="AH755" s="526"/>
      <c r="AI755" s="526"/>
      <c r="AJ755" s="526"/>
      <c r="AK755" s="526"/>
      <c r="AL755" s="526"/>
      <c r="AM755" s="526"/>
      <c r="AN755" s="526"/>
      <c r="AO755" s="526"/>
      <c r="AP755" s="526"/>
      <c r="AQ755" s="526"/>
      <c r="AR755" s="526"/>
      <c r="AS755" s="526"/>
      <c r="AT755" s="526"/>
      <c r="AU755" s="526"/>
      <c r="AV755" s="526"/>
      <c r="AW755" s="526"/>
      <c r="AX755" s="526"/>
      <c r="AY755" s="526"/>
      <c r="AZ755" s="526"/>
      <c r="BA755" s="526"/>
      <c r="BB755" s="526"/>
      <c r="BC755" s="526"/>
      <c r="BD755" s="526"/>
      <c r="BE755" s="526"/>
      <c r="BF755" s="526"/>
      <c r="BG755" s="526"/>
    </row>
    <row r="756" spans="1:59" s="830" customFormat="1" ht="17.25" customHeight="1" x14ac:dyDescent="0.25">
      <c r="A756" s="865"/>
      <c r="B756" s="865"/>
      <c r="C756" s="908"/>
      <c r="G756" s="865"/>
      <c r="H756" s="874"/>
      <c r="I756" s="869"/>
      <c r="J756" s="869"/>
      <c r="K756" s="869"/>
      <c r="L756" s="869"/>
      <c r="M756" s="874"/>
      <c r="O756" s="874"/>
      <c r="P756" s="874"/>
      <c r="Q756" s="874"/>
      <c r="R756" s="874"/>
      <c r="S756" s="874"/>
      <c r="T756" s="874"/>
      <c r="W756" s="874"/>
      <c r="X756" s="874"/>
      <c r="Y756" s="874"/>
      <c r="Z756" s="874"/>
      <c r="AA756" s="874"/>
      <c r="AD756" s="526"/>
      <c r="AE756" s="526"/>
      <c r="AF756" s="526"/>
      <c r="AG756" s="526"/>
      <c r="AH756" s="526"/>
      <c r="AI756" s="526"/>
      <c r="AJ756" s="526"/>
      <c r="AK756" s="526"/>
      <c r="AL756" s="526"/>
      <c r="AM756" s="526"/>
      <c r="AN756" s="526"/>
      <c r="AO756" s="526"/>
      <c r="AP756" s="526"/>
      <c r="AQ756" s="526"/>
      <c r="AR756" s="526"/>
      <c r="AS756" s="526"/>
      <c r="AT756" s="526"/>
      <c r="AU756" s="526"/>
      <c r="AV756" s="526"/>
      <c r="AW756" s="526"/>
      <c r="AX756" s="526"/>
      <c r="AY756" s="526"/>
      <c r="AZ756" s="526"/>
      <c r="BA756" s="526"/>
      <c r="BB756" s="526"/>
      <c r="BC756" s="526"/>
      <c r="BD756" s="526"/>
      <c r="BE756" s="526"/>
      <c r="BF756" s="526"/>
      <c r="BG756" s="526"/>
    </row>
    <row r="757" spans="1:59" s="830" customFormat="1" ht="17.25" customHeight="1" x14ac:dyDescent="0.25">
      <c r="A757" s="865"/>
      <c r="B757" s="865"/>
      <c r="C757" s="908"/>
      <c r="G757" s="865"/>
      <c r="H757" s="874"/>
      <c r="I757" s="869"/>
      <c r="J757" s="869"/>
      <c r="K757" s="869"/>
      <c r="L757" s="869"/>
      <c r="M757" s="874"/>
      <c r="O757" s="874"/>
      <c r="P757" s="874"/>
      <c r="Q757" s="874"/>
      <c r="R757" s="874"/>
      <c r="S757" s="874"/>
      <c r="T757" s="874"/>
      <c r="W757" s="874"/>
      <c r="X757" s="874"/>
      <c r="Y757" s="874"/>
      <c r="Z757" s="874"/>
      <c r="AA757" s="874"/>
      <c r="AD757" s="526"/>
      <c r="AE757" s="526"/>
      <c r="AF757" s="526"/>
      <c r="AG757" s="526"/>
      <c r="AH757" s="526"/>
      <c r="AI757" s="526"/>
      <c r="AJ757" s="526"/>
      <c r="AK757" s="526"/>
      <c r="AL757" s="526"/>
      <c r="AM757" s="526"/>
      <c r="AN757" s="526"/>
      <c r="AO757" s="526"/>
      <c r="AP757" s="526"/>
      <c r="AQ757" s="526"/>
      <c r="AR757" s="526"/>
      <c r="AS757" s="526"/>
      <c r="AT757" s="526"/>
      <c r="AU757" s="526"/>
      <c r="AV757" s="526"/>
      <c r="AW757" s="526"/>
      <c r="AX757" s="526"/>
      <c r="AY757" s="526"/>
      <c r="AZ757" s="526"/>
      <c r="BA757" s="526"/>
      <c r="BB757" s="526"/>
      <c r="BC757" s="526"/>
      <c r="BD757" s="526"/>
      <c r="BE757" s="526"/>
      <c r="BF757" s="526"/>
      <c r="BG757" s="526"/>
    </row>
    <row r="758" spans="1:59" s="830" customFormat="1" ht="17.25" customHeight="1" x14ac:dyDescent="0.25">
      <c r="A758" s="865"/>
      <c r="B758" s="865"/>
      <c r="C758" s="908"/>
      <c r="G758" s="865"/>
      <c r="H758" s="874"/>
      <c r="I758" s="869"/>
      <c r="J758" s="869"/>
      <c r="K758" s="869"/>
      <c r="L758" s="869"/>
      <c r="M758" s="874"/>
      <c r="O758" s="874"/>
      <c r="P758" s="874"/>
      <c r="Q758" s="874"/>
      <c r="R758" s="874"/>
      <c r="S758" s="874"/>
      <c r="T758" s="874"/>
      <c r="W758" s="874"/>
      <c r="X758" s="874"/>
      <c r="Y758" s="874"/>
      <c r="Z758" s="874"/>
      <c r="AA758" s="874"/>
      <c r="AD758" s="526"/>
      <c r="AE758" s="526"/>
      <c r="AF758" s="526"/>
      <c r="AG758" s="526"/>
      <c r="AH758" s="526"/>
      <c r="AI758" s="526"/>
      <c r="AJ758" s="526"/>
      <c r="AK758" s="526"/>
      <c r="AL758" s="526"/>
      <c r="AM758" s="526"/>
      <c r="AN758" s="526"/>
      <c r="AO758" s="526"/>
      <c r="AP758" s="526"/>
      <c r="AQ758" s="526"/>
      <c r="AR758" s="526"/>
      <c r="AS758" s="526"/>
      <c r="AT758" s="526"/>
      <c r="AU758" s="526"/>
      <c r="AV758" s="526"/>
      <c r="AW758" s="526"/>
      <c r="AX758" s="526"/>
      <c r="AY758" s="526"/>
      <c r="AZ758" s="526"/>
      <c r="BA758" s="526"/>
      <c r="BB758" s="526"/>
      <c r="BC758" s="526"/>
      <c r="BD758" s="526"/>
      <c r="BE758" s="526"/>
      <c r="BF758" s="526"/>
      <c r="BG758" s="526"/>
    </row>
    <row r="759" spans="1:59" s="830" customFormat="1" ht="17.25" customHeight="1" x14ac:dyDescent="0.25">
      <c r="A759" s="865"/>
      <c r="B759" s="865"/>
      <c r="C759" s="908"/>
      <c r="G759" s="865"/>
      <c r="H759" s="874"/>
      <c r="I759" s="869"/>
      <c r="J759" s="869"/>
      <c r="K759" s="869"/>
      <c r="L759" s="869"/>
      <c r="M759" s="874"/>
      <c r="O759" s="874"/>
      <c r="P759" s="874"/>
      <c r="Q759" s="874"/>
      <c r="R759" s="874"/>
      <c r="S759" s="874"/>
      <c r="T759" s="874"/>
      <c r="W759" s="874"/>
      <c r="X759" s="874"/>
      <c r="Y759" s="874"/>
      <c r="Z759" s="874"/>
      <c r="AA759" s="874"/>
      <c r="AD759" s="526"/>
      <c r="AE759" s="526"/>
      <c r="AF759" s="526"/>
      <c r="AG759" s="526"/>
      <c r="AH759" s="526"/>
      <c r="AI759" s="526"/>
      <c r="AJ759" s="526"/>
      <c r="AK759" s="526"/>
      <c r="AL759" s="526"/>
      <c r="AM759" s="526"/>
      <c r="AN759" s="526"/>
      <c r="AO759" s="526"/>
      <c r="AP759" s="526"/>
      <c r="AQ759" s="526"/>
      <c r="AR759" s="526"/>
      <c r="AS759" s="526"/>
      <c r="AT759" s="526"/>
      <c r="AU759" s="526"/>
      <c r="AV759" s="526"/>
      <c r="AW759" s="526"/>
      <c r="AX759" s="526"/>
      <c r="AY759" s="526"/>
      <c r="AZ759" s="526"/>
      <c r="BA759" s="526"/>
      <c r="BB759" s="526"/>
      <c r="BC759" s="526"/>
      <c r="BD759" s="526"/>
      <c r="BE759" s="526"/>
      <c r="BF759" s="526"/>
      <c r="BG759" s="526"/>
    </row>
    <row r="760" spans="1:59" s="830" customFormat="1" ht="17.25" customHeight="1" x14ac:dyDescent="0.25">
      <c r="A760" s="865"/>
      <c r="B760" s="865"/>
      <c r="C760" s="908"/>
      <c r="G760" s="865"/>
      <c r="H760" s="874"/>
      <c r="I760" s="869"/>
      <c r="J760" s="869"/>
      <c r="K760" s="869"/>
      <c r="L760" s="869"/>
      <c r="M760" s="874"/>
      <c r="O760" s="874"/>
      <c r="P760" s="874"/>
      <c r="Q760" s="874"/>
      <c r="R760" s="874"/>
      <c r="S760" s="874"/>
      <c r="T760" s="874"/>
      <c r="W760" s="874"/>
      <c r="X760" s="874"/>
      <c r="Y760" s="874"/>
      <c r="Z760" s="874"/>
      <c r="AA760" s="874"/>
      <c r="AD760" s="526"/>
      <c r="AE760" s="526"/>
      <c r="AF760" s="526"/>
      <c r="AG760" s="526"/>
      <c r="AH760" s="526"/>
      <c r="AI760" s="526"/>
      <c r="AJ760" s="526"/>
      <c r="AK760" s="526"/>
      <c r="AL760" s="526"/>
      <c r="AM760" s="526"/>
      <c r="AN760" s="526"/>
      <c r="AO760" s="526"/>
      <c r="AP760" s="526"/>
      <c r="AQ760" s="526"/>
      <c r="AR760" s="526"/>
      <c r="AS760" s="526"/>
      <c r="AT760" s="526"/>
      <c r="AU760" s="526"/>
      <c r="AV760" s="526"/>
      <c r="AW760" s="526"/>
      <c r="AX760" s="526"/>
      <c r="AY760" s="526"/>
      <c r="AZ760" s="526"/>
      <c r="BA760" s="526"/>
      <c r="BB760" s="526"/>
      <c r="BC760" s="526"/>
      <c r="BD760" s="526"/>
      <c r="BE760" s="526"/>
      <c r="BF760" s="526"/>
      <c r="BG760" s="526"/>
    </row>
    <row r="761" spans="1:59" s="830" customFormat="1" ht="17.25" customHeight="1" x14ac:dyDescent="0.25">
      <c r="A761" s="865"/>
      <c r="B761" s="865"/>
      <c r="C761" s="908"/>
      <c r="G761" s="865"/>
      <c r="H761" s="874"/>
      <c r="I761" s="869"/>
      <c r="J761" s="869"/>
      <c r="K761" s="869"/>
      <c r="L761" s="869"/>
      <c r="M761" s="874"/>
      <c r="O761" s="874"/>
      <c r="P761" s="874"/>
      <c r="Q761" s="874"/>
      <c r="R761" s="874"/>
      <c r="S761" s="874"/>
      <c r="T761" s="874"/>
      <c r="W761" s="874"/>
      <c r="X761" s="874"/>
      <c r="Y761" s="874"/>
      <c r="Z761" s="874"/>
      <c r="AA761" s="874"/>
      <c r="AD761" s="526"/>
      <c r="AE761" s="526"/>
      <c r="AF761" s="526"/>
      <c r="AG761" s="526"/>
      <c r="AH761" s="526"/>
      <c r="AI761" s="526"/>
      <c r="AJ761" s="526"/>
      <c r="AK761" s="526"/>
      <c r="AL761" s="526"/>
      <c r="AM761" s="526"/>
      <c r="AN761" s="526"/>
      <c r="AO761" s="526"/>
      <c r="AP761" s="526"/>
      <c r="AQ761" s="526"/>
      <c r="AR761" s="526"/>
      <c r="AS761" s="526"/>
      <c r="AT761" s="526"/>
      <c r="AU761" s="526"/>
      <c r="AV761" s="526"/>
      <c r="AW761" s="526"/>
      <c r="AX761" s="526"/>
      <c r="AY761" s="526"/>
      <c r="AZ761" s="526"/>
      <c r="BA761" s="526"/>
      <c r="BB761" s="526"/>
      <c r="BC761" s="526"/>
      <c r="BD761" s="526"/>
      <c r="BE761" s="526"/>
      <c r="BF761" s="526"/>
      <c r="BG761" s="526"/>
    </row>
    <row r="762" spans="1:59" s="830" customFormat="1" ht="17.25" customHeight="1" x14ac:dyDescent="0.25">
      <c r="A762" s="865"/>
      <c r="B762" s="865"/>
      <c r="C762" s="908"/>
      <c r="G762" s="865"/>
      <c r="H762" s="874"/>
      <c r="I762" s="869"/>
      <c r="J762" s="869"/>
      <c r="K762" s="869"/>
      <c r="L762" s="869"/>
      <c r="M762" s="874"/>
      <c r="O762" s="874"/>
      <c r="P762" s="874"/>
      <c r="Q762" s="874"/>
      <c r="R762" s="874"/>
      <c r="S762" s="874"/>
      <c r="T762" s="874"/>
      <c r="W762" s="874"/>
      <c r="X762" s="874"/>
      <c r="Y762" s="874"/>
      <c r="Z762" s="874"/>
      <c r="AA762" s="874"/>
      <c r="AD762" s="526"/>
      <c r="AE762" s="526"/>
      <c r="AF762" s="526"/>
      <c r="AG762" s="526"/>
      <c r="AH762" s="526"/>
      <c r="AI762" s="526"/>
      <c r="AJ762" s="526"/>
      <c r="AK762" s="526"/>
      <c r="AL762" s="526"/>
      <c r="AM762" s="526"/>
      <c r="AN762" s="526"/>
      <c r="AO762" s="526"/>
      <c r="AP762" s="526"/>
      <c r="AQ762" s="526"/>
      <c r="AR762" s="526"/>
      <c r="AS762" s="526"/>
      <c r="AT762" s="526"/>
      <c r="AU762" s="526"/>
      <c r="AV762" s="526"/>
      <c r="AW762" s="526"/>
      <c r="AX762" s="526"/>
      <c r="AY762" s="526"/>
      <c r="AZ762" s="526"/>
      <c r="BA762" s="526"/>
      <c r="BB762" s="526"/>
      <c r="BC762" s="526"/>
      <c r="BD762" s="526"/>
      <c r="BE762" s="526"/>
      <c r="BF762" s="526"/>
      <c r="BG762" s="526"/>
    </row>
    <row r="763" spans="1:59" s="830" customFormat="1" ht="17.25" customHeight="1" x14ac:dyDescent="0.25">
      <c r="A763" s="865"/>
      <c r="B763" s="865"/>
      <c r="C763" s="908"/>
      <c r="G763" s="865"/>
      <c r="H763" s="874"/>
      <c r="I763" s="869"/>
      <c r="J763" s="869"/>
      <c r="K763" s="869"/>
      <c r="L763" s="869"/>
      <c r="M763" s="874"/>
      <c r="O763" s="874"/>
      <c r="P763" s="874"/>
      <c r="Q763" s="874"/>
      <c r="R763" s="874"/>
      <c r="S763" s="874"/>
      <c r="T763" s="874"/>
      <c r="W763" s="874"/>
      <c r="X763" s="874"/>
      <c r="Y763" s="874"/>
      <c r="Z763" s="874"/>
      <c r="AA763" s="874"/>
      <c r="AD763" s="526"/>
      <c r="AE763" s="526"/>
      <c r="AF763" s="526"/>
      <c r="AG763" s="526"/>
      <c r="AH763" s="526"/>
      <c r="AI763" s="526"/>
      <c r="AJ763" s="526"/>
      <c r="AK763" s="526"/>
      <c r="AL763" s="526"/>
      <c r="AM763" s="526"/>
      <c r="AN763" s="526"/>
      <c r="AO763" s="526"/>
      <c r="AP763" s="526"/>
      <c r="AQ763" s="526"/>
      <c r="AR763" s="526"/>
      <c r="AS763" s="526"/>
      <c r="AT763" s="526"/>
      <c r="AU763" s="526"/>
      <c r="AV763" s="526"/>
      <c r="AW763" s="526"/>
      <c r="AX763" s="526"/>
      <c r="AY763" s="526"/>
      <c r="AZ763" s="526"/>
      <c r="BA763" s="526"/>
      <c r="BB763" s="526"/>
      <c r="BC763" s="526"/>
      <c r="BD763" s="526"/>
      <c r="BE763" s="526"/>
      <c r="BF763" s="526"/>
      <c r="BG763" s="526"/>
    </row>
    <row r="764" spans="1:59" s="830" customFormat="1" ht="17.25" customHeight="1" x14ac:dyDescent="0.25">
      <c r="A764" s="865"/>
      <c r="B764" s="865"/>
      <c r="C764" s="908"/>
      <c r="G764" s="865"/>
      <c r="H764" s="874"/>
      <c r="I764" s="869"/>
      <c r="J764" s="869"/>
      <c r="K764" s="869"/>
      <c r="L764" s="869"/>
      <c r="M764" s="874"/>
      <c r="O764" s="874"/>
      <c r="P764" s="874"/>
      <c r="Q764" s="874"/>
      <c r="R764" s="874"/>
      <c r="S764" s="874"/>
      <c r="T764" s="874"/>
      <c r="W764" s="874"/>
      <c r="X764" s="874"/>
      <c r="Y764" s="874"/>
      <c r="Z764" s="874"/>
      <c r="AA764" s="874"/>
      <c r="AD764" s="526"/>
      <c r="AE764" s="526"/>
      <c r="AF764" s="526"/>
      <c r="AG764" s="526"/>
      <c r="AH764" s="526"/>
      <c r="AI764" s="526"/>
      <c r="AJ764" s="526"/>
      <c r="AK764" s="526"/>
      <c r="AL764" s="526"/>
      <c r="AM764" s="526"/>
      <c r="AN764" s="526"/>
      <c r="AO764" s="526"/>
      <c r="AP764" s="526"/>
      <c r="AQ764" s="526"/>
      <c r="AR764" s="526"/>
      <c r="AS764" s="526"/>
      <c r="AT764" s="526"/>
      <c r="AU764" s="526"/>
      <c r="AV764" s="526"/>
      <c r="AW764" s="526"/>
      <c r="AX764" s="526"/>
      <c r="AY764" s="526"/>
      <c r="AZ764" s="526"/>
      <c r="BA764" s="526"/>
      <c r="BB764" s="526"/>
      <c r="BC764" s="526"/>
      <c r="BD764" s="526"/>
      <c r="BE764" s="526"/>
      <c r="BF764" s="526"/>
      <c r="BG764" s="526"/>
    </row>
    <row r="765" spans="1:59" s="830" customFormat="1" ht="17.25" customHeight="1" x14ac:dyDescent="0.25">
      <c r="A765" s="865"/>
      <c r="B765" s="865"/>
      <c r="C765" s="908"/>
      <c r="G765" s="865"/>
      <c r="H765" s="874"/>
      <c r="I765" s="869"/>
      <c r="J765" s="869"/>
      <c r="K765" s="869"/>
      <c r="L765" s="869"/>
      <c r="M765" s="874"/>
      <c r="O765" s="874"/>
      <c r="P765" s="874"/>
      <c r="Q765" s="874"/>
      <c r="R765" s="874"/>
      <c r="S765" s="874"/>
      <c r="T765" s="874"/>
      <c r="W765" s="874"/>
      <c r="X765" s="874"/>
      <c r="Y765" s="874"/>
      <c r="Z765" s="874"/>
      <c r="AA765" s="874"/>
      <c r="AD765" s="526"/>
      <c r="AE765" s="526"/>
      <c r="AF765" s="526"/>
      <c r="AG765" s="526"/>
      <c r="AH765" s="526"/>
      <c r="AI765" s="526"/>
      <c r="AJ765" s="526"/>
      <c r="AK765" s="526"/>
      <c r="AL765" s="526"/>
      <c r="AM765" s="526"/>
      <c r="AN765" s="526"/>
      <c r="AO765" s="526"/>
      <c r="AP765" s="526"/>
      <c r="AQ765" s="526"/>
      <c r="AR765" s="526"/>
      <c r="AS765" s="526"/>
      <c r="AT765" s="526"/>
      <c r="AU765" s="526"/>
      <c r="AV765" s="526"/>
      <c r="AW765" s="526"/>
      <c r="AX765" s="526"/>
      <c r="AY765" s="526"/>
      <c r="AZ765" s="526"/>
      <c r="BA765" s="526"/>
      <c r="BB765" s="526"/>
      <c r="BC765" s="526"/>
      <c r="BD765" s="526"/>
      <c r="BE765" s="526"/>
      <c r="BF765" s="526"/>
      <c r="BG765" s="526"/>
    </row>
    <row r="766" spans="1:59" s="830" customFormat="1" ht="17.25" customHeight="1" x14ac:dyDescent="0.25">
      <c r="A766" s="865"/>
      <c r="B766" s="865"/>
      <c r="C766" s="908"/>
      <c r="G766" s="865"/>
      <c r="H766" s="874"/>
      <c r="I766" s="869"/>
      <c r="J766" s="869"/>
      <c r="K766" s="869"/>
      <c r="L766" s="869"/>
      <c r="M766" s="874"/>
      <c r="O766" s="874"/>
      <c r="P766" s="874"/>
      <c r="Q766" s="874"/>
      <c r="R766" s="874"/>
      <c r="S766" s="874"/>
      <c r="T766" s="874"/>
      <c r="W766" s="874"/>
      <c r="X766" s="874"/>
      <c r="Y766" s="874"/>
      <c r="Z766" s="874"/>
      <c r="AA766" s="874"/>
      <c r="AD766" s="526"/>
      <c r="AE766" s="526"/>
      <c r="AF766" s="526"/>
      <c r="AG766" s="526"/>
      <c r="AH766" s="526"/>
      <c r="AI766" s="526"/>
      <c r="AJ766" s="526"/>
      <c r="AK766" s="526"/>
      <c r="AL766" s="526"/>
      <c r="AM766" s="526"/>
      <c r="AN766" s="526"/>
      <c r="AO766" s="526"/>
      <c r="AP766" s="526"/>
      <c r="AQ766" s="526"/>
      <c r="AR766" s="526"/>
      <c r="AS766" s="526"/>
      <c r="AT766" s="526"/>
      <c r="AU766" s="526"/>
      <c r="AV766" s="526"/>
      <c r="AW766" s="526"/>
      <c r="AX766" s="526"/>
      <c r="AY766" s="526"/>
      <c r="AZ766" s="526"/>
      <c r="BA766" s="526"/>
      <c r="BB766" s="526"/>
      <c r="BC766" s="526"/>
      <c r="BD766" s="526"/>
      <c r="BE766" s="526"/>
      <c r="BF766" s="526"/>
      <c r="BG766" s="526"/>
    </row>
    <row r="767" spans="1:59" s="830" customFormat="1" ht="17.25" customHeight="1" x14ac:dyDescent="0.25">
      <c r="A767" s="865"/>
      <c r="B767" s="865"/>
      <c r="C767" s="908"/>
      <c r="G767" s="865"/>
      <c r="H767" s="874"/>
      <c r="I767" s="869"/>
      <c r="J767" s="869"/>
      <c r="K767" s="869"/>
      <c r="L767" s="869"/>
      <c r="M767" s="874"/>
      <c r="O767" s="874"/>
      <c r="P767" s="874"/>
      <c r="Q767" s="874"/>
      <c r="R767" s="874"/>
      <c r="S767" s="874"/>
      <c r="T767" s="874"/>
      <c r="W767" s="874"/>
      <c r="X767" s="874"/>
      <c r="Y767" s="874"/>
      <c r="Z767" s="874"/>
      <c r="AA767" s="874"/>
      <c r="AD767" s="526"/>
      <c r="AE767" s="526"/>
      <c r="AF767" s="526"/>
      <c r="AG767" s="526"/>
      <c r="AH767" s="526"/>
      <c r="AI767" s="526"/>
      <c r="AJ767" s="526"/>
      <c r="AK767" s="526"/>
      <c r="AL767" s="526"/>
      <c r="AM767" s="526"/>
      <c r="AN767" s="526"/>
      <c r="AO767" s="526"/>
      <c r="AP767" s="526"/>
      <c r="AQ767" s="526"/>
      <c r="AR767" s="526"/>
      <c r="AS767" s="526"/>
      <c r="AT767" s="526"/>
      <c r="AU767" s="526"/>
      <c r="AV767" s="526"/>
      <c r="AW767" s="526"/>
      <c r="AX767" s="526"/>
      <c r="AY767" s="526"/>
      <c r="AZ767" s="526"/>
      <c r="BA767" s="526"/>
      <c r="BB767" s="526"/>
      <c r="BC767" s="526"/>
      <c r="BD767" s="526"/>
      <c r="BE767" s="526"/>
      <c r="BF767" s="526"/>
      <c r="BG767" s="526"/>
    </row>
    <row r="768" spans="1:59" s="830" customFormat="1" ht="17.25" customHeight="1" x14ac:dyDescent="0.25">
      <c r="A768" s="865"/>
      <c r="B768" s="865"/>
      <c r="C768" s="908"/>
      <c r="G768" s="865"/>
      <c r="H768" s="874"/>
      <c r="I768" s="869"/>
      <c r="J768" s="869"/>
      <c r="K768" s="869"/>
      <c r="L768" s="869"/>
      <c r="M768" s="874"/>
      <c r="O768" s="874"/>
      <c r="P768" s="874"/>
      <c r="Q768" s="874"/>
      <c r="R768" s="874"/>
      <c r="S768" s="874"/>
      <c r="T768" s="874"/>
      <c r="W768" s="874"/>
      <c r="X768" s="874"/>
      <c r="Y768" s="874"/>
      <c r="Z768" s="874"/>
      <c r="AA768" s="874"/>
      <c r="AD768" s="526"/>
      <c r="AE768" s="526"/>
      <c r="AF768" s="526"/>
      <c r="AG768" s="526"/>
      <c r="AH768" s="526"/>
      <c r="AI768" s="526"/>
      <c r="AJ768" s="526"/>
      <c r="AK768" s="526"/>
      <c r="AL768" s="526"/>
      <c r="AM768" s="526"/>
      <c r="AN768" s="526"/>
      <c r="AO768" s="526"/>
      <c r="AP768" s="526"/>
      <c r="AQ768" s="526"/>
      <c r="AR768" s="526"/>
      <c r="AS768" s="526"/>
      <c r="AT768" s="526"/>
      <c r="AU768" s="526"/>
      <c r="AV768" s="526"/>
      <c r="AW768" s="526"/>
      <c r="AX768" s="526"/>
      <c r="AY768" s="526"/>
      <c r="AZ768" s="526"/>
      <c r="BA768" s="526"/>
      <c r="BB768" s="526"/>
      <c r="BC768" s="526"/>
      <c r="BD768" s="526"/>
      <c r="BE768" s="526"/>
      <c r="BF768" s="526"/>
      <c r="BG768" s="526"/>
    </row>
    <row r="769" spans="1:59" s="830" customFormat="1" ht="17.25" customHeight="1" x14ac:dyDescent="0.25">
      <c r="A769" s="865"/>
      <c r="B769" s="865"/>
      <c r="C769" s="908"/>
      <c r="G769" s="865"/>
      <c r="H769" s="874"/>
      <c r="I769" s="869"/>
      <c r="J769" s="869"/>
      <c r="K769" s="869"/>
      <c r="L769" s="869"/>
      <c r="M769" s="874"/>
      <c r="O769" s="874"/>
      <c r="P769" s="874"/>
      <c r="Q769" s="874"/>
      <c r="R769" s="874"/>
      <c r="S769" s="874"/>
      <c r="T769" s="874"/>
      <c r="W769" s="874"/>
      <c r="X769" s="874"/>
      <c r="Y769" s="874"/>
      <c r="Z769" s="874"/>
      <c r="AA769" s="874"/>
      <c r="AD769" s="526"/>
      <c r="AE769" s="526"/>
      <c r="AF769" s="526"/>
      <c r="AG769" s="526"/>
      <c r="AH769" s="526"/>
      <c r="AI769" s="526"/>
      <c r="AJ769" s="526"/>
      <c r="AK769" s="526"/>
      <c r="AL769" s="526"/>
      <c r="AM769" s="526"/>
      <c r="AN769" s="526"/>
      <c r="AO769" s="526"/>
      <c r="AP769" s="526"/>
      <c r="AQ769" s="526"/>
      <c r="AR769" s="526"/>
      <c r="AS769" s="526"/>
      <c r="AT769" s="526"/>
      <c r="AU769" s="526"/>
      <c r="AV769" s="526"/>
      <c r="AW769" s="526"/>
      <c r="AX769" s="526"/>
      <c r="AY769" s="526"/>
      <c r="AZ769" s="526"/>
      <c r="BA769" s="526"/>
      <c r="BB769" s="526"/>
      <c r="BC769" s="526"/>
      <c r="BD769" s="526"/>
      <c r="BE769" s="526"/>
      <c r="BF769" s="526"/>
      <c r="BG769" s="526"/>
    </row>
    <row r="770" spans="1:59" s="830" customFormat="1" ht="17.25" customHeight="1" x14ac:dyDescent="0.25">
      <c r="A770" s="865"/>
      <c r="B770" s="865"/>
      <c r="C770" s="908"/>
      <c r="G770" s="865"/>
      <c r="H770" s="874"/>
      <c r="I770" s="869"/>
      <c r="J770" s="869"/>
      <c r="K770" s="869"/>
      <c r="L770" s="869"/>
      <c r="M770" s="874"/>
      <c r="O770" s="874"/>
      <c r="P770" s="874"/>
      <c r="Q770" s="874"/>
      <c r="R770" s="874"/>
      <c r="S770" s="874"/>
      <c r="T770" s="874"/>
      <c r="W770" s="874"/>
      <c r="X770" s="874"/>
      <c r="Y770" s="874"/>
      <c r="Z770" s="874"/>
      <c r="AA770" s="874"/>
      <c r="AD770" s="526"/>
      <c r="AE770" s="526"/>
      <c r="AF770" s="526"/>
      <c r="AG770" s="526"/>
      <c r="AH770" s="526"/>
      <c r="AI770" s="526"/>
      <c r="AJ770" s="526"/>
      <c r="AK770" s="526"/>
      <c r="AL770" s="526"/>
      <c r="AM770" s="526"/>
      <c r="AN770" s="526"/>
      <c r="AO770" s="526"/>
      <c r="AP770" s="526"/>
      <c r="AQ770" s="526"/>
      <c r="AR770" s="526"/>
      <c r="AS770" s="526"/>
      <c r="AT770" s="526"/>
      <c r="AU770" s="526"/>
      <c r="AV770" s="526"/>
      <c r="AW770" s="526"/>
      <c r="AX770" s="526"/>
      <c r="AY770" s="526"/>
      <c r="AZ770" s="526"/>
      <c r="BA770" s="526"/>
      <c r="BB770" s="526"/>
      <c r="BC770" s="526"/>
      <c r="BD770" s="526"/>
      <c r="BE770" s="526"/>
      <c r="BF770" s="526"/>
      <c r="BG770" s="526"/>
    </row>
    <row r="771" spans="1:59" s="830" customFormat="1" ht="17.25" customHeight="1" x14ac:dyDescent="0.25">
      <c r="A771" s="865"/>
      <c r="B771" s="865"/>
      <c r="C771" s="908"/>
      <c r="G771" s="865"/>
      <c r="H771" s="874"/>
      <c r="I771" s="869"/>
      <c r="J771" s="869"/>
      <c r="K771" s="869"/>
      <c r="L771" s="869"/>
      <c r="M771" s="874"/>
      <c r="O771" s="874"/>
      <c r="P771" s="874"/>
      <c r="Q771" s="874"/>
      <c r="R771" s="874"/>
      <c r="S771" s="874"/>
      <c r="T771" s="874"/>
      <c r="W771" s="874"/>
      <c r="X771" s="874"/>
      <c r="Y771" s="874"/>
      <c r="Z771" s="874"/>
      <c r="AA771" s="874"/>
      <c r="AD771" s="526"/>
      <c r="AE771" s="526"/>
      <c r="AF771" s="526"/>
      <c r="AG771" s="526"/>
      <c r="AH771" s="526"/>
      <c r="AI771" s="526"/>
      <c r="AJ771" s="526"/>
      <c r="AK771" s="526"/>
      <c r="AL771" s="526"/>
      <c r="AM771" s="526"/>
      <c r="AN771" s="526"/>
      <c r="AO771" s="526"/>
      <c r="AP771" s="526"/>
      <c r="AQ771" s="526"/>
      <c r="AR771" s="526"/>
      <c r="AS771" s="526"/>
      <c r="AT771" s="526"/>
      <c r="AU771" s="526"/>
      <c r="AV771" s="526"/>
      <c r="AW771" s="526"/>
      <c r="AX771" s="526"/>
      <c r="AY771" s="526"/>
      <c r="AZ771" s="526"/>
      <c r="BA771" s="526"/>
      <c r="BB771" s="526"/>
      <c r="BC771" s="526"/>
      <c r="BD771" s="526"/>
      <c r="BE771" s="526"/>
      <c r="BF771" s="526"/>
      <c r="BG771" s="526"/>
    </row>
    <row r="772" spans="1:59" s="830" customFormat="1" ht="17.25" customHeight="1" x14ac:dyDescent="0.25">
      <c r="A772" s="865"/>
      <c r="B772" s="865"/>
      <c r="C772" s="908"/>
      <c r="G772" s="865"/>
      <c r="H772" s="874"/>
      <c r="I772" s="869"/>
      <c r="J772" s="869"/>
      <c r="K772" s="869"/>
      <c r="L772" s="869"/>
      <c r="M772" s="874"/>
      <c r="O772" s="874"/>
      <c r="P772" s="874"/>
      <c r="Q772" s="874"/>
      <c r="R772" s="874"/>
      <c r="S772" s="874"/>
      <c r="T772" s="874"/>
      <c r="W772" s="874"/>
      <c r="X772" s="874"/>
      <c r="Y772" s="874"/>
      <c r="Z772" s="874"/>
      <c r="AA772" s="874"/>
      <c r="AD772" s="526"/>
      <c r="AE772" s="526"/>
      <c r="AF772" s="526"/>
      <c r="AG772" s="526"/>
      <c r="AH772" s="526"/>
      <c r="AI772" s="526"/>
      <c r="AJ772" s="526"/>
      <c r="AK772" s="526"/>
      <c r="AL772" s="526"/>
      <c r="AM772" s="526"/>
      <c r="AN772" s="526"/>
      <c r="AO772" s="526"/>
      <c r="AP772" s="526"/>
      <c r="AQ772" s="526"/>
      <c r="AR772" s="526"/>
      <c r="AS772" s="526"/>
      <c r="AT772" s="526"/>
      <c r="AU772" s="526"/>
      <c r="AV772" s="526"/>
      <c r="AW772" s="526"/>
      <c r="AX772" s="526"/>
      <c r="AY772" s="526"/>
      <c r="AZ772" s="526"/>
      <c r="BA772" s="526"/>
      <c r="BB772" s="526"/>
      <c r="BC772" s="526"/>
      <c r="BD772" s="526"/>
      <c r="BE772" s="526"/>
      <c r="BF772" s="526"/>
      <c r="BG772" s="526"/>
    </row>
    <row r="773" spans="1:59" s="830" customFormat="1" ht="17.25" customHeight="1" x14ac:dyDescent="0.25">
      <c r="A773" s="865"/>
      <c r="B773" s="865"/>
      <c r="C773" s="908"/>
      <c r="G773" s="865"/>
      <c r="H773" s="874"/>
      <c r="I773" s="869"/>
      <c r="J773" s="869"/>
      <c r="K773" s="869"/>
      <c r="L773" s="869"/>
      <c r="M773" s="874"/>
      <c r="O773" s="874"/>
      <c r="P773" s="874"/>
      <c r="Q773" s="874"/>
      <c r="R773" s="874"/>
      <c r="S773" s="874"/>
      <c r="T773" s="874"/>
      <c r="W773" s="874"/>
      <c r="X773" s="874"/>
      <c r="Y773" s="874"/>
      <c r="Z773" s="874"/>
      <c r="AA773" s="874"/>
      <c r="AD773" s="526"/>
      <c r="AE773" s="526"/>
      <c r="AF773" s="526"/>
      <c r="AG773" s="526"/>
      <c r="AH773" s="526"/>
      <c r="AI773" s="526"/>
      <c r="AJ773" s="526"/>
      <c r="AK773" s="526"/>
      <c r="AL773" s="526"/>
      <c r="AM773" s="526"/>
      <c r="AN773" s="526"/>
      <c r="AO773" s="526"/>
      <c r="AP773" s="526"/>
      <c r="AQ773" s="526"/>
      <c r="AR773" s="526"/>
      <c r="AS773" s="526"/>
      <c r="AT773" s="526"/>
      <c r="AU773" s="526"/>
      <c r="AV773" s="526"/>
      <c r="AW773" s="526"/>
      <c r="AX773" s="526"/>
      <c r="AY773" s="526"/>
      <c r="AZ773" s="526"/>
      <c r="BA773" s="526"/>
      <c r="BB773" s="526"/>
      <c r="BC773" s="526"/>
      <c r="BD773" s="526"/>
      <c r="BE773" s="526"/>
      <c r="BF773" s="526"/>
      <c r="BG773" s="526"/>
    </row>
    <row r="774" spans="1:59" s="830" customFormat="1" ht="17.25" customHeight="1" x14ac:dyDescent="0.25">
      <c r="A774" s="865"/>
      <c r="B774" s="865"/>
      <c r="C774" s="908"/>
      <c r="G774" s="865"/>
      <c r="H774" s="874"/>
      <c r="I774" s="869"/>
      <c r="J774" s="869"/>
      <c r="K774" s="869"/>
      <c r="L774" s="869"/>
      <c r="M774" s="874"/>
      <c r="O774" s="874"/>
      <c r="P774" s="874"/>
      <c r="Q774" s="874"/>
      <c r="R774" s="874"/>
      <c r="S774" s="874"/>
      <c r="T774" s="874"/>
      <c r="W774" s="874"/>
      <c r="X774" s="874"/>
      <c r="Y774" s="874"/>
      <c r="Z774" s="874"/>
      <c r="AA774" s="874"/>
      <c r="AD774" s="526"/>
      <c r="AE774" s="526"/>
      <c r="AF774" s="526"/>
      <c r="AG774" s="526"/>
      <c r="AH774" s="526"/>
      <c r="AI774" s="526"/>
      <c r="AJ774" s="526"/>
      <c r="AK774" s="526"/>
      <c r="AL774" s="526"/>
      <c r="AM774" s="526"/>
      <c r="AN774" s="526"/>
      <c r="AO774" s="526"/>
      <c r="AP774" s="526"/>
      <c r="AQ774" s="526"/>
      <c r="AR774" s="526"/>
      <c r="AS774" s="526"/>
      <c r="AT774" s="526"/>
      <c r="AU774" s="526"/>
      <c r="AV774" s="526"/>
      <c r="AW774" s="526"/>
      <c r="AX774" s="526"/>
      <c r="AY774" s="526"/>
      <c r="AZ774" s="526"/>
      <c r="BA774" s="526"/>
      <c r="BB774" s="526"/>
      <c r="BC774" s="526"/>
      <c r="BD774" s="526"/>
      <c r="BE774" s="526"/>
      <c r="BF774" s="526"/>
      <c r="BG774" s="526"/>
    </row>
    <row r="775" spans="1:59" s="830" customFormat="1" ht="17.25" customHeight="1" x14ac:dyDescent="0.25">
      <c r="A775" s="865"/>
      <c r="B775" s="865"/>
      <c r="C775" s="908"/>
      <c r="G775" s="865"/>
      <c r="H775" s="874"/>
      <c r="I775" s="869"/>
      <c r="J775" s="869"/>
      <c r="K775" s="869"/>
      <c r="L775" s="869"/>
      <c r="M775" s="874"/>
      <c r="O775" s="874"/>
      <c r="P775" s="874"/>
      <c r="Q775" s="874"/>
      <c r="R775" s="874"/>
      <c r="S775" s="874"/>
      <c r="T775" s="874"/>
      <c r="W775" s="874"/>
      <c r="X775" s="874"/>
      <c r="Y775" s="874"/>
      <c r="Z775" s="874"/>
      <c r="AA775" s="874"/>
      <c r="AD775" s="526"/>
      <c r="AE775" s="526"/>
      <c r="AF775" s="526"/>
      <c r="AG775" s="526"/>
      <c r="AH775" s="526"/>
      <c r="AI775" s="526"/>
      <c r="AJ775" s="526"/>
      <c r="AK775" s="526"/>
      <c r="AL775" s="526"/>
      <c r="AM775" s="526"/>
      <c r="AN775" s="526"/>
      <c r="AO775" s="526"/>
      <c r="AP775" s="526"/>
      <c r="AQ775" s="526"/>
      <c r="AR775" s="526"/>
      <c r="AS775" s="526"/>
      <c r="AT775" s="526"/>
      <c r="AU775" s="526"/>
      <c r="AV775" s="526"/>
      <c r="AW775" s="526"/>
      <c r="AX775" s="526"/>
      <c r="AY775" s="526"/>
      <c r="AZ775" s="526"/>
      <c r="BA775" s="526"/>
      <c r="BB775" s="526"/>
      <c r="BC775" s="526"/>
      <c r="BD775" s="526"/>
      <c r="BE775" s="526"/>
      <c r="BF775" s="526"/>
      <c r="BG775" s="526"/>
    </row>
    <row r="776" spans="1:59" s="830" customFormat="1" ht="17.25" customHeight="1" x14ac:dyDescent="0.25">
      <c r="A776" s="865"/>
      <c r="B776" s="865"/>
      <c r="C776" s="908"/>
      <c r="G776" s="865"/>
      <c r="H776" s="874"/>
      <c r="I776" s="869"/>
      <c r="J776" s="869"/>
      <c r="K776" s="869"/>
      <c r="L776" s="869"/>
      <c r="M776" s="874"/>
      <c r="O776" s="874"/>
      <c r="P776" s="874"/>
      <c r="Q776" s="874"/>
      <c r="R776" s="874"/>
      <c r="S776" s="874"/>
      <c r="T776" s="874"/>
      <c r="W776" s="874"/>
      <c r="X776" s="874"/>
      <c r="Y776" s="874"/>
      <c r="Z776" s="874"/>
      <c r="AA776" s="874"/>
      <c r="AD776" s="526"/>
      <c r="AE776" s="526"/>
      <c r="AF776" s="526"/>
      <c r="AG776" s="526"/>
      <c r="AH776" s="526"/>
      <c r="AI776" s="526"/>
      <c r="AJ776" s="526"/>
      <c r="AK776" s="526"/>
      <c r="AL776" s="526"/>
      <c r="AM776" s="526"/>
      <c r="AN776" s="526"/>
      <c r="AO776" s="526"/>
      <c r="AP776" s="526"/>
      <c r="AQ776" s="526"/>
      <c r="AR776" s="526"/>
      <c r="AS776" s="526"/>
      <c r="AT776" s="526"/>
      <c r="AU776" s="526"/>
      <c r="AV776" s="526"/>
      <c r="AW776" s="526"/>
      <c r="AX776" s="526"/>
      <c r="AY776" s="526"/>
      <c r="AZ776" s="526"/>
      <c r="BA776" s="526"/>
      <c r="BB776" s="526"/>
      <c r="BC776" s="526"/>
      <c r="BD776" s="526"/>
      <c r="BE776" s="526"/>
      <c r="BF776" s="526"/>
      <c r="BG776" s="526"/>
    </row>
    <row r="777" spans="1:59" s="830" customFormat="1" ht="17.25" customHeight="1" x14ac:dyDescent="0.25">
      <c r="A777" s="865"/>
      <c r="B777" s="865"/>
      <c r="C777" s="908"/>
      <c r="G777" s="865"/>
      <c r="H777" s="874"/>
      <c r="I777" s="869"/>
      <c r="J777" s="869"/>
      <c r="K777" s="869"/>
      <c r="L777" s="869"/>
      <c r="M777" s="874"/>
      <c r="O777" s="874"/>
      <c r="P777" s="874"/>
      <c r="Q777" s="874"/>
      <c r="R777" s="874"/>
      <c r="S777" s="874"/>
      <c r="T777" s="874"/>
      <c r="W777" s="874"/>
      <c r="X777" s="874"/>
      <c r="Y777" s="874"/>
      <c r="Z777" s="874"/>
      <c r="AA777" s="874"/>
      <c r="AD777" s="526"/>
      <c r="AE777" s="526"/>
      <c r="AF777" s="526"/>
      <c r="AG777" s="526"/>
      <c r="AH777" s="526"/>
      <c r="AI777" s="526"/>
      <c r="AJ777" s="526"/>
      <c r="AK777" s="526"/>
      <c r="AL777" s="526"/>
      <c r="AM777" s="526"/>
      <c r="AN777" s="526"/>
      <c r="AO777" s="526"/>
      <c r="AP777" s="526"/>
      <c r="AQ777" s="526"/>
      <c r="AR777" s="526"/>
      <c r="AS777" s="526"/>
      <c r="AT777" s="526"/>
      <c r="AU777" s="526"/>
      <c r="AV777" s="526"/>
      <c r="AW777" s="526"/>
      <c r="AX777" s="526"/>
      <c r="AY777" s="526"/>
      <c r="AZ777" s="526"/>
      <c r="BA777" s="526"/>
      <c r="BB777" s="526"/>
      <c r="BC777" s="526"/>
      <c r="BD777" s="526"/>
      <c r="BE777" s="526"/>
      <c r="BF777" s="526"/>
      <c r="BG777" s="526"/>
    </row>
    <row r="778" spans="1:59" s="830" customFormat="1" ht="17.25" customHeight="1" x14ac:dyDescent="0.25">
      <c r="A778" s="865"/>
      <c r="B778" s="865"/>
      <c r="C778" s="908"/>
      <c r="G778" s="865"/>
      <c r="H778" s="874"/>
      <c r="I778" s="869"/>
      <c r="J778" s="869"/>
      <c r="K778" s="869"/>
      <c r="L778" s="869"/>
      <c r="M778" s="874"/>
      <c r="O778" s="874"/>
      <c r="P778" s="874"/>
      <c r="Q778" s="874"/>
      <c r="R778" s="874"/>
      <c r="S778" s="874"/>
      <c r="T778" s="874"/>
      <c r="W778" s="874"/>
      <c r="X778" s="874"/>
      <c r="Y778" s="874"/>
      <c r="Z778" s="874"/>
      <c r="AA778" s="874"/>
      <c r="AD778" s="526"/>
      <c r="AE778" s="526"/>
      <c r="AF778" s="526"/>
      <c r="AG778" s="526"/>
      <c r="AH778" s="526"/>
      <c r="AI778" s="526"/>
      <c r="AJ778" s="526"/>
      <c r="AK778" s="526"/>
      <c r="AL778" s="526"/>
      <c r="AM778" s="526"/>
      <c r="AN778" s="526"/>
      <c r="AO778" s="526"/>
      <c r="AP778" s="526"/>
      <c r="AQ778" s="526"/>
      <c r="AR778" s="526"/>
      <c r="AS778" s="526"/>
      <c r="AT778" s="526"/>
      <c r="AU778" s="526"/>
      <c r="AV778" s="526"/>
      <c r="AW778" s="526"/>
      <c r="AX778" s="526"/>
      <c r="AY778" s="526"/>
      <c r="AZ778" s="526"/>
      <c r="BA778" s="526"/>
      <c r="BB778" s="526"/>
      <c r="BC778" s="526"/>
      <c r="BD778" s="526"/>
      <c r="BE778" s="526"/>
      <c r="BF778" s="526"/>
      <c r="BG778" s="526"/>
    </row>
    <row r="779" spans="1:59" s="830" customFormat="1" ht="17.25" customHeight="1" x14ac:dyDescent="0.25">
      <c r="A779" s="865"/>
      <c r="B779" s="865"/>
      <c r="C779" s="908"/>
      <c r="G779" s="865"/>
      <c r="H779" s="874"/>
      <c r="I779" s="869"/>
      <c r="J779" s="869"/>
      <c r="K779" s="869"/>
      <c r="L779" s="869"/>
      <c r="M779" s="874"/>
      <c r="O779" s="874"/>
      <c r="P779" s="874"/>
      <c r="Q779" s="874"/>
      <c r="R779" s="874"/>
      <c r="S779" s="874"/>
      <c r="T779" s="874"/>
      <c r="W779" s="874"/>
      <c r="X779" s="874"/>
      <c r="Y779" s="874"/>
      <c r="Z779" s="874"/>
      <c r="AA779" s="874"/>
      <c r="AD779" s="526"/>
      <c r="AE779" s="526"/>
      <c r="AF779" s="526"/>
      <c r="AG779" s="526"/>
      <c r="AH779" s="526"/>
      <c r="AI779" s="526"/>
      <c r="AJ779" s="526"/>
      <c r="AK779" s="526"/>
      <c r="AL779" s="526"/>
      <c r="AM779" s="526"/>
      <c r="AN779" s="526"/>
      <c r="AO779" s="526"/>
      <c r="AP779" s="526"/>
      <c r="AQ779" s="526"/>
      <c r="AR779" s="526"/>
      <c r="AS779" s="526"/>
      <c r="AT779" s="526"/>
      <c r="AU779" s="526"/>
      <c r="AV779" s="526"/>
      <c r="AW779" s="526"/>
      <c r="AX779" s="526"/>
      <c r="AY779" s="526"/>
      <c r="AZ779" s="526"/>
      <c r="BA779" s="526"/>
      <c r="BB779" s="526"/>
      <c r="BC779" s="526"/>
      <c r="BD779" s="526"/>
      <c r="BE779" s="526"/>
      <c r="BF779" s="526"/>
      <c r="BG779" s="526"/>
    </row>
    <row r="780" spans="1:59" s="830" customFormat="1" ht="17.25" customHeight="1" x14ac:dyDescent="0.25">
      <c r="A780" s="865"/>
      <c r="B780" s="865"/>
      <c r="C780" s="908"/>
      <c r="G780" s="865"/>
      <c r="H780" s="874"/>
      <c r="I780" s="869"/>
      <c r="J780" s="869"/>
      <c r="K780" s="869"/>
      <c r="L780" s="869"/>
      <c r="M780" s="874"/>
      <c r="O780" s="874"/>
      <c r="P780" s="874"/>
      <c r="Q780" s="874"/>
      <c r="R780" s="874"/>
      <c r="S780" s="874"/>
      <c r="T780" s="874"/>
      <c r="W780" s="874"/>
      <c r="X780" s="874"/>
      <c r="Y780" s="874"/>
      <c r="Z780" s="874"/>
      <c r="AA780" s="874"/>
      <c r="AD780" s="526"/>
      <c r="AE780" s="526"/>
      <c r="AF780" s="526"/>
      <c r="AG780" s="526"/>
      <c r="AH780" s="526"/>
      <c r="AI780" s="526"/>
      <c r="AJ780" s="526"/>
      <c r="AK780" s="526"/>
      <c r="AL780" s="526"/>
      <c r="AM780" s="526"/>
      <c r="AN780" s="526"/>
      <c r="AO780" s="526"/>
      <c r="AP780" s="526"/>
      <c r="AQ780" s="526"/>
      <c r="AR780" s="526"/>
      <c r="AS780" s="526"/>
      <c r="AT780" s="526"/>
      <c r="AU780" s="526"/>
      <c r="AV780" s="526"/>
      <c r="AW780" s="526"/>
      <c r="AX780" s="526"/>
      <c r="AY780" s="526"/>
      <c r="AZ780" s="526"/>
      <c r="BA780" s="526"/>
      <c r="BB780" s="526"/>
      <c r="BC780" s="526"/>
      <c r="BD780" s="526"/>
      <c r="BE780" s="526"/>
      <c r="BF780" s="526"/>
      <c r="BG780" s="526"/>
    </row>
    <row r="781" spans="1:59" s="830" customFormat="1" ht="17.25" customHeight="1" x14ac:dyDescent="0.25">
      <c r="A781" s="865"/>
      <c r="B781" s="865"/>
      <c r="C781" s="908"/>
      <c r="G781" s="865"/>
      <c r="H781" s="874"/>
      <c r="I781" s="869"/>
      <c r="J781" s="869"/>
      <c r="K781" s="869"/>
      <c r="L781" s="869"/>
      <c r="M781" s="874"/>
      <c r="O781" s="874"/>
      <c r="P781" s="874"/>
      <c r="Q781" s="874"/>
      <c r="R781" s="874"/>
      <c r="S781" s="874"/>
      <c r="T781" s="874"/>
      <c r="W781" s="874"/>
      <c r="X781" s="874"/>
      <c r="Y781" s="874"/>
      <c r="Z781" s="874"/>
      <c r="AA781" s="874"/>
      <c r="AD781" s="526"/>
      <c r="AE781" s="526"/>
      <c r="AF781" s="526"/>
      <c r="AG781" s="526"/>
      <c r="AH781" s="526"/>
      <c r="AI781" s="526"/>
      <c r="AJ781" s="526"/>
      <c r="AK781" s="526"/>
      <c r="AL781" s="526"/>
      <c r="AM781" s="526"/>
      <c r="AN781" s="526"/>
      <c r="AO781" s="526"/>
      <c r="AP781" s="526"/>
      <c r="AQ781" s="526"/>
      <c r="AR781" s="526"/>
      <c r="AS781" s="526"/>
      <c r="AT781" s="526"/>
      <c r="AU781" s="526"/>
      <c r="AV781" s="526"/>
      <c r="AW781" s="526"/>
      <c r="AX781" s="526"/>
      <c r="AY781" s="526"/>
      <c r="AZ781" s="526"/>
      <c r="BA781" s="526"/>
      <c r="BB781" s="526"/>
      <c r="BC781" s="526"/>
      <c r="BD781" s="526"/>
      <c r="BE781" s="526"/>
      <c r="BF781" s="526"/>
      <c r="BG781" s="526"/>
    </row>
    <row r="782" spans="1:59" s="830" customFormat="1" ht="17.25" customHeight="1" x14ac:dyDescent="0.25">
      <c r="A782" s="865"/>
      <c r="B782" s="865"/>
      <c r="C782" s="908"/>
      <c r="G782" s="865"/>
      <c r="H782" s="874"/>
      <c r="I782" s="869"/>
      <c r="J782" s="869"/>
      <c r="K782" s="869"/>
      <c r="L782" s="869"/>
      <c r="M782" s="874"/>
      <c r="O782" s="874"/>
      <c r="P782" s="874"/>
      <c r="Q782" s="874"/>
      <c r="R782" s="874"/>
      <c r="S782" s="874"/>
      <c r="T782" s="874"/>
      <c r="W782" s="874"/>
      <c r="X782" s="874"/>
      <c r="Y782" s="874"/>
      <c r="Z782" s="874"/>
      <c r="AA782" s="874"/>
      <c r="AD782" s="526"/>
      <c r="AE782" s="526"/>
      <c r="AF782" s="526"/>
      <c r="AG782" s="526"/>
      <c r="AH782" s="526"/>
      <c r="AI782" s="526"/>
      <c r="AJ782" s="526"/>
      <c r="AK782" s="526"/>
      <c r="AL782" s="526"/>
      <c r="AM782" s="526"/>
      <c r="AN782" s="526"/>
      <c r="AO782" s="526"/>
      <c r="AP782" s="526"/>
      <c r="AQ782" s="526"/>
      <c r="AR782" s="526"/>
      <c r="AS782" s="526"/>
      <c r="AT782" s="526"/>
      <c r="AU782" s="526"/>
      <c r="AV782" s="526"/>
      <c r="AW782" s="526"/>
      <c r="AX782" s="526"/>
      <c r="AY782" s="526"/>
      <c r="AZ782" s="526"/>
      <c r="BA782" s="526"/>
      <c r="BB782" s="526"/>
      <c r="BC782" s="526"/>
      <c r="BD782" s="526"/>
      <c r="BE782" s="526"/>
      <c r="BF782" s="526"/>
      <c r="BG782" s="526"/>
    </row>
    <row r="783" spans="1:59" s="830" customFormat="1" ht="17.25" customHeight="1" x14ac:dyDescent="0.25">
      <c r="A783" s="865"/>
      <c r="B783" s="865"/>
      <c r="C783" s="908"/>
      <c r="G783" s="865"/>
      <c r="H783" s="874"/>
      <c r="I783" s="869"/>
      <c r="J783" s="869"/>
      <c r="K783" s="869"/>
      <c r="L783" s="869"/>
      <c r="M783" s="874"/>
      <c r="O783" s="874"/>
      <c r="P783" s="874"/>
      <c r="Q783" s="874"/>
      <c r="R783" s="874"/>
      <c r="S783" s="874"/>
      <c r="T783" s="874"/>
      <c r="W783" s="874"/>
      <c r="X783" s="874"/>
      <c r="Y783" s="874"/>
      <c r="Z783" s="874"/>
      <c r="AA783" s="874"/>
      <c r="AD783" s="526"/>
      <c r="AE783" s="526"/>
      <c r="AF783" s="526"/>
      <c r="AG783" s="526"/>
      <c r="AH783" s="526"/>
      <c r="AI783" s="526"/>
      <c r="AJ783" s="526"/>
      <c r="AK783" s="526"/>
      <c r="AL783" s="526"/>
      <c r="AM783" s="526"/>
      <c r="AN783" s="526"/>
      <c r="AO783" s="526"/>
      <c r="AP783" s="526"/>
      <c r="AQ783" s="526"/>
      <c r="AR783" s="526"/>
      <c r="AS783" s="526"/>
      <c r="AT783" s="526"/>
      <c r="AU783" s="526"/>
      <c r="AV783" s="526"/>
      <c r="AW783" s="526"/>
      <c r="AX783" s="526"/>
      <c r="AY783" s="526"/>
      <c r="AZ783" s="526"/>
      <c r="BA783" s="526"/>
      <c r="BB783" s="526"/>
      <c r="BC783" s="526"/>
      <c r="BD783" s="526"/>
      <c r="BE783" s="526"/>
      <c r="BF783" s="526"/>
      <c r="BG783" s="526"/>
    </row>
    <row r="784" spans="1:59" s="830" customFormat="1" ht="17.25" customHeight="1" x14ac:dyDescent="0.25">
      <c r="A784" s="865"/>
      <c r="B784" s="865"/>
      <c r="C784" s="908"/>
      <c r="G784" s="865"/>
      <c r="H784" s="874"/>
      <c r="I784" s="869"/>
      <c r="J784" s="869"/>
      <c r="K784" s="869"/>
      <c r="L784" s="869"/>
      <c r="M784" s="874"/>
      <c r="O784" s="874"/>
      <c r="P784" s="874"/>
      <c r="Q784" s="874"/>
      <c r="R784" s="874"/>
      <c r="S784" s="874"/>
      <c r="T784" s="874"/>
      <c r="W784" s="874"/>
      <c r="X784" s="874"/>
      <c r="Y784" s="874"/>
      <c r="Z784" s="874"/>
      <c r="AA784" s="874"/>
      <c r="AD784" s="526"/>
      <c r="AE784" s="526"/>
      <c r="AF784" s="526"/>
      <c r="AG784" s="526"/>
      <c r="AH784" s="526"/>
      <c r="AI784" s="526"/>
      <c r="AJ784" s="526"/>
      <c r="AK784" s="526"/>
      <c r="AL784" s="526"/>
      <c r="AM784" s="526"/>
      <c r="AN784" s="526"/>
      <c r="AO784" s="526"/>
      <c r="AP784" s="526"/>
      <c r="AQ784" s="526"/>
      <c r="AR784" s="526"/>
      <c r="AS784" s="526"/>
      <c r="AT784" s="526"/>
      <c r="AU784" s="526"/>
      <c r="AV784" s="526"/>
      <c r="AW784" s="526"/>
      <c r="AX784" s="526"/>
      <c r="AY784" s="526"/>
      <c r="AZ784" s="526"/>
      <c r="BA784" s="526"/>
      <c r="BB784" s="526"/>
      <c r="BC784" s="526"/>
      <c r="BD784" s="526"/>
      <c r="BE784" s="526"/>
      <c r="BF784" s="526"/>
      <c r="BG784" s="526"/>
    </row>
    <row r="785" spans="1:59" s="830" customFormat="1" ht="17.25" customHeight="1" x14ac:dyDescent="0.25">
      <c r="A785" s="865"/>
      <c r="B785" s="865"/>
      <c r="C785" s="908"/>
      <c r="G785" s="865"/>
      <c r="H785" s="874"/>
      <c r="I785" s="869"/>
      <c r="J785" s="869"/>
      <c r="K785" s="869"/>
      <c r="L785" s="869"/>
      <c r="M785" s="874"/>
      <c r="O785" s="874"/>
      <c r="P785" s="874"/>
      <c r="Q785" s="874"/>
      <c r="R785" s="874"/>
      <c r="S785" s="874"/>
      <c r="T785" s="874"/>
      <c r="W785" s="874"/>
      <c r="X785" s="874"/>
      <c r="Y785" s="874"/>
      <c r="Z785" s="874"/>
      <c r="AA785" s="874"/>
      <c r="AD785" s="526"/>
      <c r="AE785" s="526"/>
      <c r="AF785" s="526"/>
      <c r="AG785" s="526"/>
      <c r="AH785" s="526"/>
      <c r="AI785" s="526"/>
      <c r="AJ785" s="526"/>
      <c r="AK785" s="526"/>
      <c r="AL785" s="526"/>
      <c r="AM785" s="526"/>
      <c r="AN785" s="526"/>
      <c r="AO785" s="526"/>
      <c r="AP785" s="526"/>
      <c r="AQ785" s="526"/>
      <c r="AR785" s="526"/>
      <c r="AS785" s="526"/>
      <c r="AT785" s="526"/>
      <c r="AU785" s="526"/>
      <c r="AV785" s="526"/>
      <c r="AW785" s="526"/>
      <c r="AX785" s="526"/>
      <c r="AY785" s="526"/>
      <c r="AZ785" s="526"/>
      <c r="BA785" s="526"/>
      <c r="BB785" s="526"/>
      <c r="BC785" s="526"/>
      <c r="BD785" s="526"/>
      <c r="BE785" s="526"/>
      <c r="BF785" s="526"/>
      <c r="BG785" s="526"/>
    </row>
    <row r="786" spans="1:59" s="830" customFormat="1" ht="17.25" customHeight="1" x14ac:dyDescent="0.25">
      <c r="A786" s="865"/>
      <c r="B786" s="865"/>
      <c r="C786" s="908"/>
      <c r="G786" s="865"/>
      <c r="H786" s="874"/>
      <c r="I786" s="869"/>
      <c r="J786" s="869"/>
      <c r="K786" s="869"/>
      <c r="L786" s="869"/>
      <c r="M786" s="874"/>
      <c r="O786" s="874"/>
      <c r="P786" s="874"/>
      <c r="Q786" s="874"/>
      <c r="R786" s="874"/>
      <c r="S786" s="874"/>
      <c r="T786" s="874"/>
      <c r="W786" s="874"/>
      <c r="X786" s="874"/>
      <c r="Y786" s="874"/>
      <c r="Z786" s="874"/>
      <c r="AA786" s="874"/>
      <c r="AD786" s="526"/>
      <c r="AE786" s="526"/>
      <c r="AF786" s="526"/>
      <c r="AG786" s="526"/>
      <c r="AH786" s="526"/>
      <c r="AI786" s="526"/>
      <c r="AJ786" s="526"/>
      <c r="AK786" s="526"/>
      <c r="AL786" s="526"/>
      <c r="AM786" s="526"/>
      <c r="AN786" s="526"/>
      <c r="AO786" s="526"/>
      <c r="AP786" s="526"/>
      <c r="AQ786" s="526"/>
      <c r="AR786" s="526"/>
      <c r="AS786" s="526"/>
      <c r="AT786" s="526"/>
      <c r="AU786" s="526"/>
      <c r="AV786" s="526"/>
      <c r="AW786" s="526"/>
      <c r="AX786" s="526"/>
      <c r="AY786" s="526"/>
      <c r="AZ786" s="526"/>
      <c r="BA786" s="526"/>
      <c r="BB786" s="526"/>
      <c r="BC786" s="526"/>
      <c r="BD786" s="526"/>
      <c r="BE786" s="526"/>
      <c r="BF786" s="526"/>
      <c r="BG786" s="526"/>
    </row>
    <row r="787" spans="1:59" s="830" customFormat="1" ht="17.25" customHeight="1" x14ac:dyDescent="0.25">
      <c r="A787" s="865"/>
      <c r="B787" s="865"/>
      <c r="C787" s="908"/>
      <c r="G787" s="865"/>
      <c r="H787" s="874"/>
      <c r="I787" s="869"/>
      <c r="J787" s="869"/>
      <c r="K787" s="869"/>
      <c r="L787" s="869"/>
      <c r="M787" s="874"/>
      <c r="O787" s="874"/>
      <c r="P787" s="874"/>
      <c r="Q787" s="874"/>
      <c r="R787" s="874"/>
      <c r="S787" s="874"/>
      <c r="T787" s="874"/>
      <c r="W787" s="874"/>
      <c r="X787" s="874"/>
      <c r="Y787" s="874"/>
      <c r="Z787" s="874"/>
      <c r="AA787" s="874"/>
      <c r="AD787" s="526"/>
      <c r="AE787" s="526"/>
      <c r="AF787" s="526"/>
      <c r="AG787" s="526"/>
      <c r="AH787" s="526"/>
      <c r="AI787" s="526"/>
      <c r="AJ787" s="526"/>
      <c r="AK787" s="526"/>
      <c r="AL787" s="526"/>
      <c r="AM787" s="526"/>
      <c r="AN787" s="526"/>
      <c r="AO787" s="526"/>
      <c r="AP787" s="526"/>
      <c r="AQ787" s="526"/>
      <c r="AR787" s="526"/>
      <c r="AS787" s="526"/>
      <c r="AT787" s="526"/>
      <c r="AU787" s="526"/>
      <c r="AV787" s="526"/>
      <c r="AW787" s="526"/>
      <c r="AX787" s="526"/>
      <c r="AY787" s="526"/>
      <c r="AZ787" s="526"/>
      <c r="BA787" s="526"/>
      <c r="BB787" s="526"/>
      <c r="BC787" s="526"/>
      <c r="BD787" s="526"/>
      <c r="BE787" s="526"/>
      <c r="BF787" s="526"/>
      <c r="BG787" s="526"/>
    </row>
    <row r="788" spans="1:59" s="830" customFormat="1" ht="17.25" customHeight="1" x14ac:dyDescent="0.25">
      <c r="A788" s="865"/>
      <c r="B788" s="865"/>
      <c r="C788" s="908"/>
      <c r="G788" s="865"/>
      <c r="H788" s="874"/>
      <c r="I788" s="869"/>
      <c r="J788" s="869"/>
      <c r="K788" s="869"/>
      <c r="L788" s="869"/>
      <c r="M788" s="874"/>
      <c r="O788" s="874"/>
      <c r="P788" s="874"/>
      <c r="Q788" s="874"/>
      <c r="R788" s="874"/>
      <c r="S788" s="874"/>
      <c r="T788" s="874"/>
      <c r="W788" s="874"/>
      <c r="X788" s="874"/>
      <c r="Y788" s="874"/>
      <c r="Z788" s="874"/>
      <c r="AA788" s="874"/>
      <c r="AD788" s="526"/>
      <c r="AE788" s="526"/>
      <c r="AF788" s="526"/>
      <c r="AG788" s="526"/>
      <c r="AH788" s="526"/>
      <c r="AI788" s="526"/>
      <c r="AJ788" s="526"/>
      <c r="AK788" s="526"/>
      <c r="AL788" s="526"/>
      <c r="AM788" s="526"/>
      <c r="AN788" s="526"/>
      <c r="AO788" s="526"/>
      <c r="AP788" s="526"/>
      <c r="AQ788" s="526"/>
      <c r="AR788" s="526"/>
      <c r="AS788" s="526"/>
      <c r="AT788" s="526"/>
      <c r="AU788" s="526"/>
      <c r="AV788" s="526"/>
      <c r="AW788" s="526"/>
      <c r="AX788" s="526"/>
      <c r="AY788" s="526"/>
      <c r="AZ788" s="526"/>
      <c r="BA788" s="526"/>
      <c r="BB788" s="526"/>
      <c r="BC788" s="526"/>
      <c r="BD788" s="526"/>
      <c r="BE788" s="526"/>
      <c r="BF788" s="526"/>
      <c r="BG788" s="526"/>
    </row>
    <row r="789" spans="1:59" s="830" customFormat="1" ht="17.25" customHeight="1" x14ac:dyDescent="0.25">
      <c r="A789" s="865"/>
      <c r="B789" s="865"/>
      <c r="C789" s="908"/>
      <c r="G789" s="865"/>
      <c r="H789" s="874"/>
      <c r="I789" s="869"/>
      <c r="J789" s="869"/>
      <c r="K789" s="869"/>
      <c r="L789" s="869"/>
      <c r="M789" s="874"/>
      <c r="O789" s="874"/>
      <c r="P789" s="874"/>
      <c r="Q789" s="874"/>
      <c r="R789" s="874"/>
      <c r="S789" s="874"/>
      <c r="T789" s="874"/>
      <c r="W789" s="874"/>
      <c r="X789" s="874"/>
      <c r="Y789" s="874"/>
      <c r="Z789" s="874"/>
      <c r="AA789" s="874"/>
      <c r="AD789" s="526"/>
      <c r="AE789" s="526"/>
      <c r="AF789" s="526"/>
      <c r="AG789" s="526"/>
      <c r="AH789" s="526"/>
      <c r="AI789" s="526"/>
      <c r="AJ789" s="526"/>
      <c r="AK789" s="526"/>
      <c r="AL789" s="526"/>
      <c r="AM789" s="526"/>
      <c r="AN789" s="526"/>
      <c r="AO789" s="526"/>
      <c r="AP789" s="526"/>
      <c r="AQ789" s="526"/>
      <c r="AR789" s="526"/>
      <c r="AS789" s="526"/>
      <c r="AT789" s="526"/>
      <c r="AU789" s="526"/>
      <c r="AV789" s="526"/>
      <c r="AW789" s="526"/>
      <c r="AX789" s="526"/>
      <c r="AY789" s="526"/>
      <c r="AZ789" s="526"/>
      <c r="BA789" s="526"/>
      <c r="BB789" s="526"/>
      <c r="BC789" s="526"/>
      <c r="BD789" s="526"/>
      <c r="BE789" s="526"/>
      <c r="BF789" s="526"/>
      <c r="BG789" s="526"/>
    </row>
    <row r="790" spans="1:59" s="830" customFormat="1" ht="17.25" customHeight="1" x14ac:dyDescent="0.25">
      <c r="A790" s="865"/>
      <c r="B790" s="865"/>
      <c r="C790" s="908"/>
      <c r="G790" s="865"/>
      <c r="H790" s="874"/>
      <c r="I790" s="869"/>
      <c r="J790" s="869"/>
      <c r="K790" s="869"/>
      <c r="L790" s="869"/>
      <c r="M790" s="874"/>
      <c r="O790" s="874"/>
      <c r="P790" s="874"/>
      <c r="Q790" s="874"/>
      <c r="R790" s="874"/>
      <c r="S790" s="874"/>
      <c r="T790" s="874"/>
      <c r="W790" s="874"/>
      <c r="X790" s="874"/>
      <c r="Y790" s="874"/>
      <c r="Z790" s="874"/>
      <c r="AA790" s="874"/>
      <c r="AD790" s="526"/>
      <c r="AE790" s="526"/>
      <c r="AF790" s="526"/>
      <c r="AG790" s="526"/>
      <c r="AH790" s="526"/>
      <c r="AI790" s="526"/>
      <c r="AJ790" s="526"/>
      <c r="AK790" s="526"/>
      <c r="AL790" s="526"/>
      <c r="AM790" s="526"/>
      <c r="AN790" s="526"/>
      <c r="AO790" s="526"/>
      <c r="AP790" s="526"/>
      <c r="AQ790" s="526"/>
      <c r="AR790" s="526"/>
      <c r="AS790" s="526"/>
      <c r="AT790" s="526"/>
      <c r="AU790" s="526"/>
      <c r="AV790" s="526"/>
      <c r="AW790" s="526"/>
      <c r="AX790" s="526"/>
      <c r="AY790" s="526"/>
      <c r="AZ790" s="526"/>
      <c r="BA790" s="526"/>
      <c r="BB790" s="526"/>
      <c r="BC790" s="526"/>
      <c r="BD790" s="526"/>
      <c r="BE790" s="526"/>
      <c r="BF790" s="526"/>
      <c r="BG790" s="526"/>
    </row>
    <row r="791" spans="1:59" s="830" customFormat="1" ht="17.25" customHeight="1" x14ac:dyDescent="0.25">
      <c r="A791" s="865"/>
      <c r="B791" s="865"/>
      <c r="C791" s="908"/>
      <c r="G791" s="865"/>
      <c r="H791" s="874"/>
      <c r="I791" s="869"/>
      <c r="J791" s="869"/>
      <c r="K791" s="869"/>
      <c r="L791" s="869"/>
      <c r="M791" s="874"/>
      <c r="O791" s="874"/>
      <c r="P791" s="874"/>
      <c r="Q791" s="874"/>
      <c r="R791" s="874"/>
      <c r="S791" s="874"/>
      <c r="T791" s="874"/>
      <c r="W791" s="874"/>
      <c r="X791" s="874"/>
      <c r="Y791" s="874"/>
      <c r="Z791" s="874"/>
      <c r="AA791" s="874"/>
      <c r="AD791" s="526"/>
      <c r="AE791" s="526"/>
      <c r="AF791" s="526"/>
      <c r="AG791" s="526"/>
      <c r="AH791" s="526"/>
      <c r="AI791" s="526"/>
      <c r="AJ791" s="526"/>
      <c r="AK791" s="526"/>
      <c r="AL791" s="526"/>
      <c r="AM791" s="526"/>
      <c r="AN791" s="526"/>
      <c r="AO791" s="526"/>
      <c r="AP791" s="526"/>
      <c r="AQ791" s="526"/>
      <c r="AR791" s="526"/>
      <c r="AS791" s="526"/>
      <c r="AT791" s="526"/>
      <c r="AU791" s="526"/>
      <c r="AV791" s="526"/>
      <c r="AW791" s="526"/>
      <c r="AX791" s="526"/>
      <c r="AY791" s="526"/>
      <c r="AZ791" s="526"/>
      <c r="BA791" s="526"/>
      <c r="BB791" s="526"/>
      <c r="BC791" s="526"/>
      <c r="BD791" s="526"/>
      <c r="BE791" s="526"/>
      <c r="BF791" s="526"/>
      <c r="BG791" s="526"/>
    </row>
    <row r="792" spans="1:59" s="830" customFormat="1" ht="17.25" customHeight="1" x14ac:dyDescent="0.25">
      <c r="A792" s="865"/>
      <c r="B792" s="865"/>
      <c r="C792" s="908"/>
      <c r="G792" s="865"/>
      <c r="H792" s="874"/>
      <c r="I792" s="869"/>
      <c r="J792" s="869"/>
      <c r="K792" s="869"/>
      <c r="L792" s="869"/>
      <c r="M792" s="874"/>
      <c r="O792" s="874"/>
      <c r="P792" s="874"/>
      <c r="Q792" s="874"/>
      <c r="R792" s="874"/>
      <c r="S792" s="874"/>
      <c r="T792" s="874"/>
      <c r="W792" s="874"/>
      <c r="X792" s="874"/>
      <c r="Y792" s="874"/>
      <c r="Z792" s="874"/>
      <c r="AA792" s="874"/>
      <c r="AD792" s="526"/>
      <c r="AE792" s="526"/>
      <c r="AF792" s="526"/>
      <c r="AG792" s="526"/>
      <c r="AH792" s="526"/>
      <c r="AI792" s="526"/>
      <c r="AJ792" s="526"/>
      <c r="AK792" s="526"/>
      <c r="AL792" s="526"/>
      <c r="AM792" s="526"/>
      <c r="AN792" s="526"/>
      <c r="AO792" s="526"/>
      <c r="AP792" s="526"/>
      <c r="AQ792" s="526"/>
      <c r="AR792" s="526"/>
      <c r="AS792" s="526"/>
      <c r="AT792" s="526"/>
      <c r="AU792" s="526"/>
      <c r="AV792" s="526"/>
      <c r="AW792" s="526"/>
      <c r="AX792" s="526"/>
      <c r="AY792" s="526"/>
      <c r="AZ792" s="526"/>
      <c r="BA792" s="526"/>
      <c r="BB792" s="526"/>
      <c r="BC792" s="526"/>
      <c r="BD792" s="526"/>
      <c r="BE792" s="526"/>
      <c r="BF792" s="526"/>
      <c r="BG792" s="526"/>
    </row>
    <row r="793" spans="1:59" s="830" customFormat="1" ht="17.25" customHeight="1" x14ac:dyDescent="0.25">
      <c r="A793" s="865"/>
      <c r="B793" s="865"/>
      <c r="C793" s="908"/>
      <c r="G793" s="865"/>
      <c r="H793" s="874"/>
      <c r="I793" s="869"/>
      <c r="J793" s="869"/>
      <c r="K793" s="869"/>
      <c r="L793" s="869"/>
      <c r="M793" s="874"/>
      <c r="O793" s="874"/>
      <c r="P793" s="874"/>
      <c r="Q793" s="874"/>
      <c r="R793" s="874"/>
      <c r="S793" s="874"/>
      <c r="T793" s="874"/>
      <c r="W793" s="874"/>
      <c r="X793" s="874"/>
      <c r="Y793" s="874"/>
      <c r="Z793" s="874"/>
      <c r="AA793" s="874"/>
      <c r="AD793" s="526"/>
      <c r="AE793" s="526"/>
      <c r="AF793" s="526"/>
      <c r="AG793" s="526"/>
      <c r="AH793" s="526"/>
      <c r="AI793" s="526"/>
      <c r="AJ793" s="526"/>
      <c r="AK793" s="526"/>
      <c r="AL793" s="526"/>
      <c r="AM793" s="526"/>
      <c r="AN793" s="526"/>
      <c r="AO793" s="526"/>
      <c r="AP793" s="526"/>
      <c r="AQ793" s="526"/>
      <c r="AR793" s="526"/>
      <c r="AS793" s="526"/>
      <c r="AT793" s="526"/>
      <c r="AU793" s="526"/>
      <c r="AV793" s="526"/>
      <c r="AW793" s="526"/>
      <c r="AX793" s="526"/>
      <c r="AY793" s="526"/>
      <c r="AZ793" s="526"/>
      <c r="BA793" s="526"/>
      <c r="BB793" s="526"/>
      <c r="BC793" s="526"/>
      <c r="BD793" s="526"/>
      <c r="BE793" s="526"/>
      <c r="BF793" s="526"/>
      <c r="BG793" s="526"/>
    </row>
    <row r="794" spans="1:59" s="830" customFormat="1" ht="17.25" customHeight="1" x14ac:dyDescent="0.25">
      <c r="A794" s="865"/>
      <c r="B794" s="865"/>
      <c r="C794" s="908"/>
      <c r="G794" s="865"/>
      <c r="H794" s="874"/>
      <c r="I794" s="869"/>
      <c r="J794" s="869"/>
      <c r="K794" s="869"/>
      <c r="L794" s="869"/>
      <c r="M794" s="874"/>
      <c r="O794" s="874"/>
      <c r="P794" s="874"/>
      <c r="Q794" s="874"/>
      <c r="R794" s="874"/>
      <c r="S794" s="874"/>
      <c r="T794" s="874"/>
      <c r="W794" s="874"/>
      <c r="X794" s="874"/>
      <c r="Y794" s="874"/>
      <c r="Z794" s="874"/>
      <c r="AA794" s="874"/>
      <c r="AD794" s="526"/>
      <c r="AE794" s="526"/>
      <c r="AF794" s="526"/>
      <c r="AG794" s="526"/>
      <c r="AH794" s="526"/>
      <c r="AI794" s="526"/>
      <c r="AJ794" s="526"/>
      <c r="AK794" s="526"/>
      <c r="AL794" s="526"/>
      <c r="AM794" s="526"/>
      <c r="AN794" s="526"/>
      <c r="AO794" s="526"/>
      <c r="AP794" s="526"/>
      <c r="AQ794" s="526"/>
      <c r="AR794" s="526"/>
      <c r="AS794" s="526"/>
      <c r="AT794" s="526"/>
      <c r="AU794" s="526"/>
      <c r="AV794" s="526"/>
      <c r="AW794" s="526"/>
      <c r="AX794" s="526"/>
      <c r="AY794" s="526"/>
      <c r="AZ794" s="526"/>
      <c r="BA794" s="526"/>
      <c r="BB794" s="526"/>
      <c r="BC794" s="526"/>
      <c r="BD794" s="526"/>
      <c r="BE794" s="526"/>
      <c r="BF794" s="526"/>
      <c r="BG794" s="526"/>
    </row>
    <row r="795" spans="1:59" s="830" customFormat="1" ht="17.25" customHeight="1" x14ac:dyDescent="0.25">
      <c r="A795" s="865"/>
      <c r="B795" s="865"/>
      <c r="C795" s="908"/>
      <c r="G795" s="865"/>
      <c r="H795" s="874"/>
      <c r="I795" s="869"/>
      <c r="J795" s="869"/>
      <c r="K795" s="869"/>
      <c r="L795" s="869"/>
      <c r="M795" s="874"/>
      <c r="O795" s="874"/>
      <c r="P795" s="874"/>
      <c r="Q795" s="874"/>
      <c r="R795" s="874"/>
      <c r="S795" s="874"/>
      <c r="T795" s="874"/>
      <c r="W795" s="874"/>
      <c r="X795" s="874"/>
      <c r="Y795" s="874"/>
      <c r="Z795" s="874"/>
      <c r="AA795" s="874"/>
      <c r="AD795" s="526"/>
      <c r="AE795" s="526"/>
      <c r="AF795" s="526"/>
      <c r="AG795" s="526"/>
      <c r="AH795" s="526"/>
      <c r="AI795" s="526"/>
      <c r="AJ795" s="526"/>
      <c r="AK795" s="526"/>
      <c r="AL795" s="526"/>
      <c r="AM795" s="526"/>
      <c r="AN795" s="526"/>
      <c r="AO795" s="526"/>
      <c r="AP795" s="526"/>
      <c r="AQ795" s="526"/>
      <c r="AR795" s="526"/>
      <c r="AS795" s="526"/>
      <c r="AT795" s="526"/>
      <c r="AU795" s="526"/>
      <c r="AV795" s="526"/>
      <c r="AW795" s="526"/>
      <c r="AX795" s="526"/>
      <c r="AY795" s="526"/>
      <c r="AZ795" s="526"/>
      <c r="BA795" s="526"/>
      <c r="BB795" s="526"/>
      <c r="BC795" s="526"/>
      <c r="BD795" s="526"/>
      <c r="BE795" s="526"/>
      <c r="BF795" s="526"/>
      <c r="BG795" s="526"/>
    </row>
    <row r="796" spans="1:59" s="830" customFormat="1" ht="17.25" customHeight="1" x14ac:dyDescent="0.25">
      <c r="A796" s="865"/>
      <c r="B796" s="865"/>
      <c r="C796" s="908"/>
      <c r="G796" s="865"/>
      <c r="H796" s="874"/>
      <c r="I796" s="869"/>
      <c r="J796" s="869"/>
      <c r="K796" s="869"/>
      <c r="L796" s="869"/>
      <c r="M796" s="874"/>
      <c r="O796" s="874"/>
      <c r="P796" s="874"/>
      <c r="Q796" s="874"/>
      <c r="R796" s="874"/>
      <c r="S796" s="874"/>
      <c r="T796" s="874"/>
      <c r="W796" s="874"/>
      <c r="X796" s="874"/>
      <c r="Y796" s="874"/>
      <c r="Z796" s="874"/>
      <c r="AA796" s="874"/>
      <c r="AD796" s="526"/>
      <c r="AE796" s="526"/>
      <c r="AF796" s="526"/>
      <c r="AG796" s="526"/>
      <c r="AH796" s="526"/>
      <c r="AI796" s="526"/>
      <c r="AJ796" s="526"/>
      <c r="AK796" s="526"/>
      <c r="AL796" s="526"/>
      <c r="AM796" s="526"/>
      <c r="AN796" s="526"/>
      <c r="AO796" s="526"/>
      <c r="AP796" s="526"/>
      <c r="AQ796" s="526"/>
      <c r="AR796" s="526"/>
      <c r="AS796" s="526"/>
      <c r="AT796" s="526"/>
      <c r="AU796" s="526"/>
      <c r="AV796" s="526"/>
      <c r="AW796" s="526"/>
      <c r="AX796" s="526"/>
      <c r="AY796" s="526"/>
      <c r="AZ796" s="526"/>
      <c r="BA796" s="526"/>
      <c r="BB796" s="526"/>
      <c r="BC796" s="526"/>
      <c r="BD796" s="526"/>
      <c r="BE796" s="526"/>
      <c r="BF796" s="526"/>
      <c r="BG796" s="526"/>
    </row>
    <row r="797" spans="1:59" s="830" customFormat="1" ht="17.25" customHeight="1" x14ac:dyDescent="0.25">
      <c r="A797" s="865"/>
      <c r="B797" s="865"/>
      <c r="C797" s="908"/>
      <c r="G797" s="865"/>
      <c r="H797" s="874"/>
      <c r="I797" s="869"/>
      <c r="J797" s="869"/>
      <c r="K797" s="869"/>
      <c r="L797" s="869"/>
      <c r="M797" s="874"/>
      <c r="O797" s="874"/>
      <c r="P797" s="874"/>
      <c r="Q797" s="874"/>
      <c r="R797" s="874"/>
      <c r="S797" s="874"/>
      <c r="T797" s="874"/>
      <c r="W797" s="874"/>
      <c r="X797" s="874"/>
      <c r="Y797" s="874"/>
      <c r="Z797" s="874"/>
      <c r="AA797" s="874"/>
      <c r="AD797" s="526"/>
      <c r="AE797" s="526"/>
      <c r="AF797" s="526"/>
      <c r="AG797" s="526"/>
      <c r="AH797" s="526"/>
      <c r="AI797" s="526"/>
      <c r="AJ797" s="526"/>
      <c r="AK797" s="526"/>
      <c r="AL797" s="526"/>
      <c r="AM797" s="526"/>
      <c r="AN797" s="526"/>
      <c r="AO797" s="526"/>
      <c r="AP797" s="526"/>
      <c r="AQ797" s="526"/>
      <c r="AR797" s="526"/>
      <c r="AS797" s="526"/>
      <c r="AT797" s="526"/>
      <c r="AU797" s="526"/>
      <c r="AV797" s="526"/>
      <c r="AW797" s="526"/>
      <c r="AX797" s="526"/>
      <c r="AY797" s="526"/>
      <c r="AZ797" s="526"/>
      <c r="BA797" s="526"/>
      <c r="BB797" s="526"/>
      <c r="BC797" s="526"/>
      <c r="BD797" s="526"/>
      <c r="BE797" s="526"/>
      <c r="BF797" s="526"/>
      <c r="BG797" s="526"/>
    </row>
    <row r="798" spans="1:59" s="830" customFormat="1" ht="17.25" customHeight="1" x14ac:dyDescent="0.25">
      <c r="A798" s="865"/>
      <c r="B798" s="865"/>
      <c r="C798" s="908"/>
      <c r="G798" s="865"/>
      <c r="H798" s="874"/>
      <c r="I798" s="869"/>
      <c r="J798" s="869"/>
      <c r="K798" s="869"/>
      <c r="L798" s="869"/>
      <c r="M798" s="874"/>
      <c r="O798" s="874"/>
      <c r="P798" s="874"/>
      <c r="Q798" s="874"/>
      <c r="R798" s="874"/>
      <c r="S798" s="874"/>
      <c r="T798" s="874"/>
      <c r="W798" s="874"/>
      <c r="X798" s="874"/>
      <c r="Y798" s="874"/>
      <c r="Z798" s="874"/>
      <c r="AA798" s="874"/>
      <c r="AD798" s="526"/>
      <c r="AE798" s="526"/>
      <c r="AF798" s="526"/>
      <c r="AG798" s="526"/>
      <c r="AH798" s="526"/>
      <c r="AI798" s="526"/>
      <c r="AJ798" s="526"/>
      <c r="AK798" s="526"/>
      <c r="AL798" s="526"/>
      <c r="AM798" s="526"/>
      <c r="AN798" s="526"/>
      <c r="AO798" s="526"/>
      <c r="AP798" s="526"/>
      <c r="AQ798" s="526"/>
      <c r="AR798" s="526"/>
      <c r="AS798" s="526"/>
      <c r="AT798" s="526"/>
      <c r="AU798" s="526"/>
      <c r="AV798" s="526"/>
      <c r="AW798" s="526"/>
      <c r="AX798" s="526"/>
      <c r="AY798" s="526"/>
      <c r="AZ798" s="526"/>
      <c r="BA798" s="526"/>
      <c r="BB798" s="526"/>
      <c r="BC798" s="526"/>
      <c r="BD798" s="526"/>
      <c r="BE798" s="526"/>
      <c r="BF798" s="526"/>
      <c r="BG798" s="526"/>
    </row>
    <row r="799" spans="1:59" s="830" customFormat="1" ht="17.25" customHeight="1" x14ac:dyDescent="0.25">
      <c r="A799" s="865"/>
      <c r="B799" s="865"/>
      <c r="C799" s="908"/>
      <c r="G799" s="865"/>
      <c r="H799" s="874"/>
      <c r="I799" s="869"/>
      <c r="J799" s="869"/>
      <c r="K799" s="869"/>
      <c r="L799" s="869"/>
      <c r="M799" s="874"/>
      <c r="O799" s="874"/>
      <c r="P799" s="874"/>
      <c r="Q799" s="874"/>
      <c r="R799" s="874"/>
      <c r="S799" s="874"/>
      <c r="T799" s="874"/>
      <c r="W799" s="874"/>
      <c r="X799" s="874"/>
      <c r="Y799" s="874"/>
      <c r="Z799" s="874"/>
      <c r="AA799" s="874"/>
      <c r="AD799" s="526"/>
      <c r="AE799" s="526"/>
      <c r="AF799" s="526"/>
      <c r="AG799" s="526"/>
      <c r="AH799" s="526"/>
      <c r="AI799" s="526"/>
      <c r="AJ799" s="526"/>
      <c r="AK799" s="526"/>
      <c r="AL799" s="526"/>
      <c r="AM799" s="526"/>
      <c r="AN799" s="526"/>
      <c r="AO799" s="526"/>
      <c r="AP799" s="526"/>
      <c r="AQ799" s="526"/>
      <c r="AR799" s="526"/>
      <c r="AS799" s="526"/>
      <c r="AT799" s="526"/>
      <c r="AU799" s="526"/>
      <c r="AV799" s="526"/>
      <c r="AW799" s="526"/>
      <c r="AX799" s="526"/>
      <c r="AY799" s="526"/>
      <c r="AZ799" s="526"/>
      <c r="BA799" s="526"/>
      <c r="BB799" s="526"/>
      <c r="BC799" s="526"/>
      <c r="BD799" s="526"/>
      <c r="BE799" s="526"/>
      <c r="BF799" s="526"/>
      <c r="BG799" s="526"/>
    </row>
    <row r="800" spans="1:59" s="830" customFormat="1" ht="17.25" customHeight="1" x14ac:dyDescent="0.25">
      <c r="A800" s="865"/>
      <c r="B800" s="865"/>
      <c r="C800" s="908"/>
      <c r="G800" s="865"/>
      <c r="H800" s="874"/>
      <c r="I800" s="869"/>
      <c r="J800" s="869"/>
      <c r="K800" s="869"/>
      <c r="L800" s="869"/>
      <c r="M800" s="874"/>
      <c r="O800" s="874"/>
      <c r="P800" s="874"/>
      <c r="Q800" s="874"/>
      <c r="R800" s="874"/>
      <c r="S800" s="874"/>
      <c r="T800" s="874"/>
      <c r="W800" s="874"/>
      <c r="X800" s="874"/>
      <c r="Y800" s="874"/>
      <c r="Z800" s="874"/>
      <c r="AA800" s="874"/>
      <c r="AD800" s="526"/>
      <c r="AE800" s="526"/>
      <c r="AF800" s="526"/>
      <c r="AG800" s="526"/>
      <c r="AH800" s="526"/>
      <c r="AI800" s="526"/>
      <c r="AJ800" s="526"/>
      <c r="AK800" s="526"/>
      <c r="AL800" s="526"/>
      <c r="AM800" s="526"/>
      <c r="AN800" s="526"/>
      <c r="AO800" s="526"/>
      <c r="AP800" s="526"/>
      <c r="AQ800" s="526"/>
      <c r="AR800" s="526"/>
      <c r="AS800" s="526"/>
      <c r="AT800" s="526"/>
      <c r="AU800" s="526"/>
      <c r="AV800" s="526"/>
      <c r="AW800" s="526"/>
      <c r="AX800" s="526"/>
      <c r="AY800" s="526"/>
      <c r="AZ800" s="526"/>
      <c r="BA800" s="526"/>
      <c r="BB800" s="526"/>
      <c r="BC800" s="526"/>
      <c r="BD800" s="526"/>
      <c r="BE800" s="526"/>
      <c r="BF800" s="526"/>
      <c r="BG800" s="526"/>
    </row>
    <row r="801" spans="1:59" s="830" customFormat="1" ht="17.25" customHeight="1" x14ac:dyDescent="0.25">
      <c r="A801" s="865"/>
      <c r="B801" s="865"/>
      <c r="C801" s="908"/>
      <c r="G801" s="865"/>
      <c r="H801" s="874"/>
      <c r="I801" s="869"/>
      <c r="J801" s="869"/>
      <c r="K801" s="869"/>
      <c r="L801" s="869"/>
      <c r="M801" s="874"/>
      <c r="O801" s="874"/>
      <c r="P801" s="874"/>
      <c r="Q801" s="874"/>
      <c r="R801" s="874"/>
      <c r="S801" s="874"/>
      <c r="T801" s="874"/>
      <c r="W801" s="874"/>
      <c r="X801" s="874"/>
      <c r="Y801" s="874"/>
      <c r="Z801" s="874"/>
      <c r="AA801" s="874"/>
      <c r="AD801" s="526"/>
      <c r="AE801" s="526"/>
      <c r="AF801" s="526"/>
      <c r="AG801" s="526"/>
      <c r="AH801" s="526"/>
      <c r="AI801" s="526"/>
      <c r="AJ801" s="526"/>
      <c r="AK801" s="526"/>
      <c r="AL801" s="526"/>
      <c r="AM801" s="526"/>
      <c r="AN801" s="526"/>
      <c r="AO801" s="526"/>
      <c r="AP801" s="526"/>
      <c r="AQ801" s="526"/>
      <c r="AR801" s="526"/>
      <c r="AS801" s="526"/>
      <c r="AT801" s="526"/>
      <c r="AU801" s="526"/>
      <c r="AV801" s="526"/>
      <c r="AW801" s="526"/>
      <c r="AX801" s="526"/>
      <c r="AY801" s="526"/>
      <c r="AZ801" s="526"/>
      <c r="BA801" s="526"/>
      <c r="BB801" s="526"/>
      <c r="BC801" s="526"/>
      <c r="BD801" s="526"/>
      <c r="BE801" s="526"/>
      <c r="BF801" s="526"/>
      <c r="BG801" s="526"/>
    </row>
    <row r="802" spans="1:59" s="830" customFormat="1" ht="17.25" customHeight="1" x14ac:dyDescent="0.25">
      <c r="A802" s="865"/>
      <c r="B802" s="865"/>
      <c r="C802" s="908"/>
      <c r="G802" s="865"/>
      <c r="H802" s="874"/>
      <c r="I802" s="869"/>
      <c r="J802" s="869"/>
      <c r="K802" s="869"/>
      <c r="L802" s="869"/>
      <c r="M802" s="874"/>
      <c r="O802" s="874"/>
      <c r="P802" s="874"/>
      <c r="Q802" s="874"/>
      <c r="R802" s="874"/>
      <c r="S802" s="874"/>
      <c r="T802" s="874"/>
      <c r="W802" s="874"/>
      <c r="X802" s="874"/>
      <c r="Y802" s="874"/>
      <c r="Z802" s="874"/>
      <c r="AA802" s="874"/>
      <c r="AD802" s="526"/>
      <c r="AE802" s="526"/>
      <c r="AF802" s="526"/>
      <c r="AG802" s="526"/>
      <c r="AH802" s="526"/>
      <c r="AI802" s="526"/>
      <c r="AJ802" s="526"/>
      <c r="AK802" s="526"/>
      <c r="AL802" s="526"/>
      <c r="AM802" s="526"/>
      <c r="AN802" s="526"/>
      <c r="AO802" s="526"/>
      <c r="AP802" s="526"/>
      <c r="AQ802" s="526"/>
      <c r="AR802" s="526"/>
      <c r="AS802" s="526"/>
      <c r="AT802" s="526"/>
      <c r="AU802" s="526"/>
      <c r="AV802" s="526"/>
      <c r="AW802" s="526"/>
      <c r="AX802" s="526"/>
      <c r="AY802" s="526"/>
      <c r="AZ802" s="526"/>
      <c r="BA802" s="526"/>
      <c r="BB802" s="526"/>
      <c r="BC802" s="526"/>
      <c r="BD802" s="526"/>
      <c r="BE802" s="526"/>
      <c r="BF802" s="526"/>
      <c r="BG802" s="526"/>
    </row>
    <row r="803" spans="1:59" s="830" customFormat="1" ht="17.25" customHeight="1" x14ac:dyDescent="0.25">
      <c r="A803" s="865"/>
      <c r="B803" s="865"/>
      <c r="C803" s="908"/>
      <c r="G803" s="865"/>
      <c r="H803" s="874"/>
      <c r="I803" s="869"/>
      <c r="J803" s="869"/>
      <c r="K803" s="869"/>
      <c r="L803" s="869"/>
      <c r="M803" s="874"/>
      <c r="O803" s="874"/>
      <c r="P803" s="874"/>
      <c r="Q803" s="874"/>
      <c r="R803" s="874"/>
      <c r="S803" s="874"/>
      <c r="T803" s="874"/>
      <c r="W803" s="874"/>
      <c r="X803" s="874"/>
      <c r="Y803" s="874"/>
      <c r="Z803" s="874"/>
      <c r="AA803" s="874"/>
      <c r="AD803" s="526"/>
      <c r="AE803" s="526"/>
      <c r="AF803" s="526"/>
      <c r="AG803" s="526"/>
      <c r="AH803" s="526"/>
      <c r="AI803" s="526"/>
      <c r="AJ803" s="526"/>
      <c r="AK803" s="526"/>
      <c r="AL803" s="526"/>
      <c r="AM803" s="526"/>
      <c r="AN803" s="526"/>
      <c r="AO803" s="526"/>
      <c r="AP803" s="526"/>
      <c r="AQ803" s="526"/>
      <c r="AR803" s="526"/>
      <c r="AS803" s="526"/>
      <c r="AT803" s="526"/>
      <c r="AU803" s="526"/>
      <c r="AV803" s="526"/>
      <c r="AW803" s="526"/>
      <c r="AX803" s="526"/>
      <c r="AY803" s="526"/>
      <c r="AZ803" s="526"/>
      <c r="BA803" s="526"/>
      <c r="BB803" s="526"/>
      <c r="BC803" s="526"/>
      <c r="BD803" s="526"/>
      <c r="BE803" s="526"/>
      <c r="BF803" s="526"/>
      <c r="BG803" s="526"/>
    </row>
    <row r="804" spans="1:59" s="830" customFormat="1" ht="17.25" customHeight="1" x14ac:dyDescent="0.25">
      <c r="A804" s="865"/>
      <c r="B804" s="865"/>
      <c r="C804" s="908"/>
      <c r="G804" s="865"/>
      <c r="H804" s="874"/>
      <c r="I804" s="869"/>
      <c r="J804" s="869"/>
      <c r="K804" s="869"/>
      <c r="L804" s="869"/>
      <c r="M804" s="874"/>
      <c r="O804" s="874"/>
      <c r="P804" s="874"/>
      <c r="Q804" s="874"/>
      <c r="R804" s="874"/>
      <c r="S804" s="874"/>
      <c r="T804" s="874"/>
      <c r="W804" s="874"/>
      <c r="X804" s="874"/>
      <c r="Y804" s="874"/>
      <c r="Z804" s="874"/>
      <c r="AA804" s="874"/>
      <c r="AD804" s="526"/>
      <c r="AE804" s="526"/>
      <c r="AF804" s="526"/>
      <c r="AG804" s="526"/>
      <c r="AH804" s="526"/>
      <c r="AI804" s="526"/>
      <c r="AJ804" s="526"/>
      <c r="AK804" s="526"/>
      <c r="AL804" s="526"/>
      <c r="AM804" s="526"/>
      <c r="AN804" s="526"/>
      <c r="AO804" s="526"/>
      <c r="AP804" s="526"/>
      <c r="AQ804" s="526"/>
      <c r="AR804" s="526"/>
      <c r="AS804" s="526"/>
      <c r="AT804" s="526"/>
      <c r="AU804" s="526"/>
      <c r="AV804" s="526"/>
      <c r="AW804" s="526"/>
      <c r="AX804" s="526"/>
      <c r="AY804" s="526"/>
      <c r="AZ804" s="526"/>
      <c r="BA804" s="526"/>
      <c r="BB804" s="526"/>
      <c r="BC804" s="526"/>
      <c r="BD804" s="526"/>
      <c r="BE804" s="526"/>
      <c r="BF804" s="526"/>
      <c r="BG804" s="526"/>
    </row>
    <row r="805" spans="1:59" s="830" customFormat="1" ht="17.25" customHeight="1" x14ac:dyDescent="0.25">
      <c r="A805" s="865"/>
      <c r="B805" s="865"/>
      <c r="C805" s="908"/>
      <c r="G805" s="865"/>
      <c r="H805" s="874"/>
      <c r="I805" s="869"/>
      <c r="J805" s="869"/>
      <c r="K805" s="869"/>
      <c r="L805" s="869"/>
      <c r="M805" s="874"/>
      <c r="O805" s="874"/>
      <c r="P805" s="874"/>
      <c r="Q805" s="874"/>
      <c r="R805" s="874"/>
      <c r="S805" s="874"/>
      <c r="T805" s="874"/>
      <c r="W805" s="874"/>
      <c r="X805" s="874"/>
      <c r="Y805" s="874"/>
      <c r="Z805" s="874"/>
      <c r="AA805" s="874"/>
      <c r="AD805" s="526"/>
      <c r="AE805" s="526"/>
      <c r="AF805" s="526"/>
      <c r="AG805" s="526"/>
      <c r="AH805" s="526"/>
      <c r="AI805" s="526"/>
      <c r="AJ805" s="526"/>
      <c r="AK805" s="526"/>
      <c r="AL805" s="526"/>
      <c r="AM805" s="526"/>
      <c r="AN805" s="526"/>
      <c r="AO805" s="526"/>
      <c r="AP805" s="526"/>
      <c r="AQ805" s="526"/>
      <c r="AR805" s="526"/>
      <c r="AS805" s="526"/>
      <c r="AT805" s="526"/>
      <c r="AU805" s="526"/>
      <c r="AV805" s="526"/>
      <c r="AW805" s="526"/>
      <c r="AX805" s="526"/>
      <c r="AY805" s="526"/>
      <c r="AZ805" s="526"/>
      <c r="BA805" s="526"/>
      <c r="BB805" s="526"/>
      <c r="BC805" s="526"/>
      <c r="BD805" s="526"/>
      <c r="BE805" s="526"/>
      <c r="BF805" s="526"/>
      <c r="BG805" s="526"/>
    </row>
    <row r="806" spans="1:59" s="830" customFormat="1" ht="17.25" customHeight="1" x14ac:dyDescent="0.25">
      <c r="A806" s="865"/>
      <c r="B806" s="865"/>
      <c r="C806" s="908"/>
      <c r="G806" s="865"/>
      <c r="H806" s="874"/>
      <c r="I806" s="869"/>
      <c r="J806" s="869"/>
      <c r="K806" s="869"/>
      <c r="L806" s="869"/>
      <c r="M806" s="874"/>
      <c r="O806" s="874"/>
      <c r="P806" s="874"/>
      <c r="Q806" s="874"/>
      <c r="R806" s="874"/>
      <c r="S806" s="874"/>
      <c r="T806" s="874"/>
      <c r="W806" s="874"/>
      <c r="X806" s="874"/>
      <c r="Y806" s="874"/>
      <c r="Z806" s="874"/>
      <c r="AA806" s="874"/>
      <c r="AD806" s="526"/>
      <c r="AE806" s="526"/>
      <c r="AF806" s="526"/>
      <c r="AG806" s="526"/>
      <c r="AH806" s="526"/>
      <c r="AI806" s="526"/>
      <c r="AJ806" s="526"/>
      <c r="AK806" s="526"/>
      <c r="AL806" s="526"/>
      <c r="AM806" s="526"/>
      <c r="AN806" s="526"/>
      <c r="AO806" s="526"/>
      <c r="AP806" s="526"/>
      <c r="AQ806" s="526"/>
      <c r="AR806" s="526"/>
      <c r="AS806" s="526"/>
      <c r="AT806" s="526"/>
      <c r="AU806" s="526"/>
      <c r="AV806" s="526"/>
      <c r="AW806" s="526"/>
      <c r="AX806" s="526"/>
      <c r="AY806" s="526"/>
      <c r="AZ806" s="526"/>
      <c r="BA806" s="526"/>
      <c r="BB806" s="526"/>
      <c r="BC806" s="526"/>
      <c r="BD806" s="526"/>
      <c r="BE806" s="526"/>
      <c r="BF806" s="526"/>
      <c r="BG806" s="526"/>
    </row>
    <row r="807" spans="1:59" s="830" customFormat="1" ht="17.25" customHeight="1" x14ac:dyDescent="0.25">
      <c r="A807" s="865"/>
      <c r="B807" s="865"/>
      <c r="C807" s="908"/>
      <c r="G807" s="865"/>
      <c r="H807" s="874"/>
      <c r="I807" s="869"/>
      <c r="J807" s="869"/>
      <c r="K807" s="869"/>
      <c r="L807" s="869"/>
      <c r="M807" s="874"/>
      <c r="O807" s="874"/>
      <c r="P807" s="874"/>
      <c r="Q807" s="874"/>
      <c r="R807" s="874"/>
      <c r="S807" s="874"/>
      <c r="T807" s="874"/>
      <c r="W807" s="874"/>
      <c r="X807" s="874"/>
      <c r="Y807" s="874"/>
      <c r="Z807" s="874"/>
      <c r="AA807" s="874"/>
      <c r="AD807" s="526"/>
      <c r="AE807" s="526"/>
      <c r="AF807" s="526"/>
      <c r="AG807" s="526"/>
      <c r="AH807" s="526"/>
      <c r="AI807" s="526"/>
      <c r="AJ807" s="526"/>
      <c r="AK807" s="526"/>
      <c r="AL807" s="526"/>
      <c r="AM807" s="526"/>
      <c r="AN807" s="526"/>
      <c r="AO807" s="526"/>
      <c r="AP807" s="526"/>
      <c r="AQ807" s="526"/>
      <c r="AR807" s="526"/>
      <c r="AS807" s="526"/>
      <c r="AT807" s="526"/>
      <c r="AU807" s="526"/>
      <c r="AV807" s="526"/>
      <c r="AW807" s="526"/>
      <c r="AX807" s="526"/>
      <c r="AY807" s="526"/>
      <c r="AZ807" s="526"/>
      <c r="BA807" s="526"/>
      <c r="BB807" s="526"/>
      <c r="BC807" s="526"/>
      <c r="BD807" s="526"/>
      <c r="BE807" s="526"/>
      <c r="BF807" s="526"/>
      <c r="BG807" s="526"/>
    </row>
    <row r="808" spans="1:59" s="830" customFormat="1" ht="17.25" customHeight="1" x14ac:dyDescent="0.25">
      <c r="A808" s="865"/>
      <c r="B808" s="865"/>
      <c r="C808" s="908"/>
      <c r="G808" s="865"/>
      <c r="H808" s="874"/>
      <c r="I808" s="869"/>
      <c r="J808" s="869"/>
      <c r="K808" s="869"/>
      <c r="L808" s="869"/>
      <c r="M808" s="874"/>
      <c r="O808" s="874"/>
      <c r="P808" s="874"/>
      <c r="Q808" s="874"/>
      <c r="R808" s="874"/>
      <c r="S808" s="874"/>
      <c r="T808" s="874"/>
      <c r="W808" s="874"/>
      <c r="X808" s="874"/>
      <c r="Y808" s="874"/>
      <c r="Z808" s="874"/>
      <c r="AA808" s="874"/>
      <c r="AD808" s="526"/>
      <c r="AE808" s="526"/>
      <c r="AF808" s="526"/>
      <c r="AG808" s="526"/>
      <c r="AH808" s="526"/>
      <c r="AI808" s="526"/>
      <c r="AJ808" s="526"/>
      <c r="AK808" s="526"/>
      <c r="AL808" s="526"/>
      <c r="AM808" s="526"/>
      <c r="AN808" s="526"/>
      <c r="AO808" s="526"/>
      <c r="AP808" s="526"/>
      <c r="AQ808" s="526"/>
      <c r="AR808" s="526"/>
      <c r="AS808" s="526"/>
      <c r="AT808" s="526"/>
      <c r="AU808" s="526"/>
      <c r="AV808" s="526"/>
      <c r="AW808" s="526"/>
      <c r="AX808" s="526"/>
      <c r="AY808" s="526"/>
      <c r="AZ808" s="526"/>
      <c r="BA808" s="526"/>
      <c r="BB808" s="526"/>
      <c r="BC808" s="526"/>
      <c r="BD808" s="526"/>
      <c r="BE808" s="526"/>
      <c r="BF808" s="526"/>
      <c r="BG808" s="526"/>
    </row>
    <row r="809" spans="1:59" s="830" customFormat="1" ht="17.25" customHeight="1" x14ac:dyDescent="0.25">
      <c r="A809" s="865"/>
      <c r="B809" s="865"/>
      <c r="C809" s="908"/>
      <c r="G809" s="865"/>
      <c r="H809" s="874"/>
      <c r="I809" s="869"/>
      <c r="J809" s="869"/>
      <c r="K809" s="869"/>
      <c r="L809" s="869"/>
      <c r="M809" s="874"/>
      <c r="O809" s="874"/>
      <c r="P809" s="874"/>
      <c r="Q809" s="874"/>
      <c r="R809" s="874"/>
      <c r="S809" s="874"/>
      <c r="T809" s="874"/>
      <c r="W809" s="874"/>
      <c r="X809" s="874"/>
      <c r="Y809" s="874"/>
      <c r="Z809" s="874"/>
      <c r="AA809" s="874"/>
      <c r="AD809" s="526"/>
      <c r="AE809" s="526"/>
      <c r="AF809" s="526"/>
      <c r="AG809" s="526"/>
      <c r="AH809" s="526"/>
      <c r="AI809" s="526"/>
      <c r="AJ809" s="526"/>
      <c r="AK809" s="526"/>
      <c r="AL809" s="526"/>
      <c r="AM809" s="526"/>
      <c r="AN809" s="526"/>
      <c r="AO809" s="526"/>
      <c r="AP809" s="526"/>
      <c r="AQ809" s="526"/>
      <c r="AR809" s="526"/>
      <c r="AS809" s="526"/>
      <c r="AT809" s="526"/>
      <c r="AU809" s="526"/>
      <c r="AV809" s="526"/>
      <c r="AW809" s="526"/>
      <c r="AX809" s="526"/>
      <c r="AY809" s="526"/>
      <c r="AZ809" s="526"/>
      <c r="BA809" s="526"/>
      <c r="BB809" s="526"/>
      <c r="BC809" s="526"/>
      <c r="BD809" s="526"/>
      <c r="BE809" s="526"/>
      <c r="BF809" s="526"/>
      <c r="BG809" s="526"/>
    </row>
    <row r="810" spans="1:59" s="830" customFormat="1" ht="17.25" customHeight="1" x14ac:dyDescent="0.25">
      <c r="A810" s="865"/>
      <c r="B810" s="865"/>
      <c r="C810" s="908"/>
      <c r="G810" s="865"/>
      <c r="H810" s="874"/>
      <c r="I810" s="869"/>
      <c r="J810" s="869"/>
      <c r="K810" s="869"/>
      <c r="L810" s="869"/>
      <c r="M810" s="874"/>
      <c r="O810" s="874"/>
      <c r="P810" s="874"/>
      <c r="Q810" s="874"/>
      <c r="R810" s="874"/>
      <c r="S810" s="874"/>
      <c r="T810" s="874"/>
      <c r="W810" s="874"/>
      <c r="X810" s="874"/>
      <c r="Y810" s="874"/>
      <c r="Z810" s="874"/>
      <c r="AA810" s="874"/>
      <c r="AD810" s="526"/>
      <c r="AE810" s="526"/>
      <c r="AF810" s="526"/>
      <c r="AG810" s="526"/>
      <c r="AH810" s="526"/>
      <c r="AI810" s="526"/>
      <c r="AJ810" s="526"/>
      <c r="AK810" s="526"/>
      <c r="AL810" s="526"/>
      <c r="AM810" s="526"/>
      <c r="AN810" s="526"/>
      <c r="AO810" s="526"/>
      <c r="AP810" s="526"/>
      <c r="AQ810" s="526"/>
      <c r="AR810" s="526"/>
      <c r="AS810" s="526"/>
      <c r="AT810" s="526"/>
      <c r="AU810" s="526"/>
      <c r="AV810" s="526"/>
      <c r="AW810" s="526"/>
      <c r="AX810" s="526"/>
      <c r="AY810" s="526"/>
      <c r="AZ810" s="526"/>
      <c r="BA810" s="526"/>
      <c r="BB810" s="526"/>
      <c r="BC810" s="526"/>
      <c r="BD810" s="526"/>
      <c r="BE810" s="526"/>
      <c r="BF810" s="526"/>
      <c r="BG810" s="526"/>
    </row>
    <row r="811" spans="1:59" s="830" customFormat="1" ht="17.25" customHeight="1" x14ac:dyDescent="0.25">
      <c r="A811" s="865"/>
      <c r="B811" s="865"/>
      <c r="C811" s="908"/>
      <c r="G811" s="865"/>
      <c r="H811" s="874"/>
      <c r="I811" s="869"/>
      <c r="J811" s="869"/>
      <c r="K811" s="869"/>
      <c r="L811" s="869"/>
      <c r="M811" s="874"/>
      <c r="O811" s="874"/>
      <c r="P811" s="874"/>
      <c r="Q811" s="874"/>
      <c r="R811" s="874"/>
      <c r="S811" s="874"/>
      <c r="T811" s="874"/>
      <c r="W811" s="874"/>
      <c r="X811" s="874"/>
      <c r="Y811" s="874"/>
      <c r="Z811" s="874"/>
      <c r="AA811" s="874"/>
      <c r="AD811" s="526"/>
      <c r="AE811" s="526"/>
      <c r="AF811" s="526"/>
      <c r="AG811" s="526"/>
      <c r="AH811" s="526"/>
      <c r="AI811" s="526"/>
      <c r="AJ811" s="526"/>
      <c r="AK811" s="526"/>
      <c r="AL811" s="526"/>
      <c r="AM811" s="526"/>
      <c r="AN811" s="526"/>
      <c r="AO811" s="526"/>
      <c r="AP811" s="526"/>
      <c r="AQ811" s="526"/>
      <c r="AR811" s="526"/>
      <c r="AS811" s="526"/>
      <c r="AT811" s="526"/>
      <c r="AU811" s="526"/>
      <c r="AV811" s="526"/>
      <c r="AW811" s="526"/>
      <c r="AX811" s="526"/>
      <c r="AY811" s="526"/>
      <c r="AZ811" s="526"/>
      <c r="BA811" s="526"/>
      <c r="BB811" s="526"/>
      <c r="BC811" s="526"/>
      <c r="BD811" s="526"/>
      <c r="BE811" s="526"/>
      <c r="BF811" s="526"/>
      <c r="BG811" s="526"/>
    </row>
    <row r="812" spans="1:59" s="830" customFormat="1" ht="17.25" customHeight="1" x14ac:dyDescent="0.25">
      <c r="A812" s="865"/>
      <c r="B812" s="865"/>
      <c r="C812" s="908"/>
      <c r="G812" s="865"/>
      <c r="H812" s="874"/>
      <c r="I812" s="869"/>
      <c r="J812" s="869"/>
      <c r="K812" s="869"/>
      <c r="L812" s="869"/>
      <c r="M812" s="874"/>
      <c r="O812" s="874"/>
      <c r="P812" s="874"/>
      <c r="Q812" s="874"/>
      <c r="R812" s="874"/>
      <c r="S812" s="874"/>
      <c r="T812" s="874"/>
      <c r="W812" s="874"/>
      <c r="X812" s="874"/>
      <c r="Y812" s="874"/>
      <c r="Z812" s="874"/>
      <c r="AA812" s="874"/>
      <c r="AD812" s="526"/>
      <c r="AE812" s="526"/>
      <c r="AF812" s="526"/>
      <c r="AG812" s="526"/>
      <c r="AH812" s="526"/>
      <c r="AI812" s="526"/>
      <c r="AJ812" s="526"/>
      <c r="AK812" s="526"/>
      <c r="AL812" s="526"/>
      <c r="AM812" s="526"/>
      <c r="AN812" s="526"/>
      <c r="AO812" s="526"/>
      <c r="AP812" s="526"/>
      <c r="AQ812" s="526"/>
      <c r="AR812" s="526"/>
      <c r="AS812" s="526"/>
      <c r="AT812" s="526"/>
      <c r="AU812" s="526"/>
      <c r="AV812" s="526"/>
      <c r="AW812" s="526"/>
      <c r="AX812" s="526"/>
      <c r="AY812" s="526"/>
      <c r="AZ812" s="526"/>
      <c r="BA812" s="526"/>
      <c r="BB812" s="526"/>
      <c r="BC812" s="526"/>
      <c r="BD812" s="526"/>
      <c r="BE812" s="526"/>
      <c r="BF812" s="526"/>
      <c r="BG812" s="526"/>
    </row>
    <row r="813" spans="1:59" s="830" customFormat="1" ht="17.25" customHeight="1" x14ac:dyDescent="0.25">
      <c r="A813" s="865"/>
      <c r="B813" s="865"/>
      <c r="C813" s="908"/>
      <c r="G813" s="865"/>
      <c r="H813" s="874"/>
      <c r="I813" s="869"/>
      <c r="J813" s="869"/>
      <c r="K813" s="869"/>
      <c r="L813" s="869"/>
      <c r="M813" s="874"/>
      <c r="O813" s="874"/>
      <c r="P813" s="874"/>
      <c r="Q813" s="874"/>
      <c r="R813" s="874"/>
      <c r="S813" s="874"/>
      <c r="T813" s="874"/>
      <c r="W813" s="874"/>
      <c r="X813" s="874"/>
      <c r="Y813" s="874"/>
      <c r="Z813" s="874"/>
      <c r="AA813" s="874"/>
      <c r="AD813" s="526"/>
      <c r="AE813" s="526"/>
      <c r="AF813" s="526"/>
      <c r="AG813" s="526"/>
      <c r="AH813" s="526"/>
      <c r="AI813" s="526"/>
      <c r="AJ813" s="526"/>
      <c r="AK813" s="526"/>
      <c r="AL813" s="526"/>
      <c r="AM813" s="526"/>
      <c r="AN813" s="526"/>
      <c r="AO813" s="526"/>
      <c r="AP813" s="526"/>
      <c r="AQ813" s="526"/>
      <c r="AR813" s="526"/>
      <c r="AS813" s="526"/>
      <c r="AT813" s="526"/>
      <c r="AU813" s="526"/>
      <c r="AV813" s="526"/>
      <c r="AW813" s="526"/>
      <c r="AX813" s="526"/>
      <c r="AY813" s="526"/>
      <c r="AZ813" s="526"/>
      <c r="BA813" s="526"/>
      <c r="BB813" s="526"/>
      <c r="BC813" s="526"/>
      <c r="BD813" s="526"/>
      <c r="BE813" s="526"/>
      <c r="BF813" s="526"/>
      <c r="BG813" s="526"/>
    </row>
    <row r="814" spans="1:59" s="830" customFormat="1" ht="17.25" customHeight="1" x14ac:dyDescent="0.25">
      <c r="A814" s="865"/>
      <c r="B814" s="865"/>
      <c r="C814" s="908"/>
      <c r="G814" s="865"/>
      <c r="H814" s="874"/>
      <c r="I814" s="869"/>
      <c r="J814" s="869"/>
      <c r="K814" s="869"/>
      <c r="L814" s="869"/>
      <c r="M814" s="874"/>
      <c r="O814" s="874"/>
      <c r="P814" s="874"/>
      <c r="Q814" s="874"/>
      <c r="R814" s="874"/>
      <c r="S814" s="874"/>
      <c r="T814" s="874"/>
      <c r="W814" s="874"/>
      <c r="X814" s="874"/>
      <c r="Y814" s="874"/>
      <c r="Z814" s="874"/>
      <c r="AA814" s="874"/>
      <c r="AD814" s="526"/>
      <c r="AE814" s="526"/>
      <c r="AF814" s="526"/>
      <c r="AG814" s="526"/>
      <c r="AH814" s="526"/>
      <c r="AI814" s="526"/>
      <c r="AJ814" s="526"/>
      <c r="AK814" s="526"/>
      <c r="AL814" s="526"/>
      <c r="AM814" s="526"/>
      <c r="AN814" s="526"/>
      <c r="AO814" s="526"/>
      <c r="AP814" s="526"/>
      <c r="AQ814" s="526"/>
      <c r="AR814" s="526"/>
      <c r="AS814" s="526"/>
      <c r="AT814" s="526"/>
      <c r="AU814" s="526"/>
      <c r="AV814" s="526"/>
      <c r="AW814" s="526"/>
      <c r="AX814" s="526"/>
      <c r="AY814" s="526"/>
      <c r="AZ814" s="526"/>
      <c r="BA814" s="526"/>
      <c r="BB814" s="526"/>
      <c r="BC814" s="526"/>
      <c r="BD814" s="526"/>
      <c r="BE814" s="526"/>
      <c r="BF814" s="526"/>
      <c r="BG814" s="526"/>
    </row>
    <row r="815" spans="1:59" s="830" customFormat="1" ht="17.25" customHeight="1" x14ac:dyDescent="0.25">
      <c r="A815" s="865"/>
      <c r="B815" s="865"/>
      <c r="C815" s="908"/>
      <c r="G815" s="865"/>
      <c r="H815" s="874"/>
      <c r="I815" s="869"/>
      <c r="J815" s="869"/>
      <c r="K815" s="869"/>
      <c r="L815" s="869"/>
      <c r="M815" s="874"/>
      <c r="O815" s="874"/>
      <c r="P815" s="874"/>
      <c r="Q815" s="874"/>
      <c r="R815" s="874"/>
      <c r="S815" s="874"/>
      <c r="T815" s="874"/>
      <c r="W815" s="874"/>
      <c r="X815" s="874"/>
      <c r="Y815" s="874"/>
      <c r="Z815" s="874"/>
      <c r="AA815" s="874"/>
      <c r="AD815" s="526"/>
      <c r="AE815" s="526"/>
      <c r="AF815" s="526"/>
      <c r="AG815" s="526"/>
      <c r="AH815" s="526"/>
      <c r="AI815" s="526"/>
      <c r="AJ815" s="526"/>
      <c r="AK815" s="526"/>
      <c r="AL815" s="526"/>
      <c r="AM815" s="526"/>
      <c r="AN815" s="526"/>
      <c r="AO815" s="526"/>
      <c r="AP815" s="526"/>
      <c r="AQ815" s="526"/>
      <c r="AR815" s="526"/>
      <c r="AS815" s="526"/>
      <c r="AT815" s="526"/>
      <c r="AU815" s="526"/>
      <c r="AV815" s="526"/>
      <c r="AW815" s="526"/>
      <c r="AX815" s="526"/>
      <c r="AY815" s="526"/>
      <c r="AZ815" s="526"/>
      <c r="BA815" s="526"/>
      <c r="BB815" s="526"/>
      <c r="BC815" s="526"/>
      <c r="BD815" s="526"/>
      <c r="BE815" s="526"/>
      <c r="BF815" s="526"/>
      <c r="BG815" s="526"/>
    </row>
    <row r="816" spans="1:59" s="830" customFormat="1" ht="17.25" customHeight="1" x14ac:dyDescent="0.25">
      <c r="A816" s="865"/>
      <c r="B816" s="865"/>
      <c r="C816" s="908"/>
      <c r="G816" s="865"/>
      <c r="H816" s="874"/>
      <c r="I816" s="869"/>
      <c r="J816" s="869"/>
      <c r="K816" s="869"/>
      <c r="L816" s="869"/>
      <c r="M816" s="874"/>
      <c r="O816" s="874"/>
      <c r="P816" s="874"/>
      <c r="Q816" s="874"/>
      <c r="R816" s="874"/>
      <c r="S816" s="874"/>
      <c r="T816" s="874"/>
      <c r="W816" s="874"/>
      <c r="X816" s="874"/>
      <c r="Y816" s="874"/>
      <c r="Z816" s="874"/>
      <c r="AA816" s="874"/>
      <c r="AD816" s="526"/>
      <c r="AE816" s="526"/>
      <c r="AF816" s="526"/>
      <c r="AG816" s="526"/>
      <c r="AH816" s="526"/>
      <c r="AI816" s="526"/>
      <c r="AJ816" s="526"/>
      <c r="AK816" s="526"/>
      <c r="AL816" s="526"/>
      <c r="AM816" s="526"/>
      <c r="AN816" s="526"/>
      <c r="AO816" s="526"/>
      <c r="AP816" s="526"/>
      <c r="AQ816" s="526"/>
      <c r="AR816" s="526"/>
      <c r="AS816" s="526"/>
      <c r="AT816" s="526"/>
      <c r="AU816" s="526"/>
      <c r="AV816" s="526"/>
      <c r="AW816" s="526"/>
      <c r="AX816" s="526"/>
      <c r="AY816" s="526"/>
      <c r="AZ816" s="526"/>
      <c r="BA816" s="526"/>
      <c r="BB816" s="526"/>
      <c r="BC816" s="526"/>
      <c r="BD816" s="526"/>
      <c r="BE816" s="526"/>
      <c r="BF816" s="526"/>
      <c r="BG816" s="526"/>
    </row>
    <row r="817" spans="1:59" s="830" customFormat="1" ht="17.25" customHeight="1" x14ac:dyDescent="0.25">
      <c r="A817" s="865"/>
      <c r="B817" s="865"/>
      <c r="C817" s="908"/>
      <c r="G817" s="865"/>
      <c r="H817" s="874"/>
      <c r="I817" s="869"/>
      <c r="J817" s="869"/>
      <c r="K817" s="869"/>
      <c r="L817" s="869"/>
      <c r="M817" s="874"/>
      <c r="O817" s="874"/>
      <c r="P817" s="874"/>
      <c r="Q817" s="874"/>
      <c r="R817" s="874"/>
      <c r="S817" s="874"/>
      <c r="T817" s="874"/>
      <c r="W817" s="874"/>
      <c r="X817" s="874"/>
      <c r="Y817" s="874"/>
      <c r="Z817" s="874"/>
      <c r="AA817" s="874"/>
      <c r="AD817" s="526"/>
      <c r="AE817" s="526"/>
      <c r="AF817" s="526"/>
      <c r="AG817" s="526"/>
      <c r="AH817" s="526"/>
      <c r="AI817" s="526"/>
      <c r="AJ817" s="526"/>
      <c r="AK817" s="526"/>
      <c r="AL817" s="526"/>
      <c r="AM817" s="526"/>
      <c r="AN817" s="526"/>
      <c r="AO817" s="526"/>
      <c r="AP817" s="526"/>
      <c r="AQ817" s="526"/>
      <c r="AR817" s="526"/>
      <c r="AS817" s="526"/>
      <c r="AT817" s="526"/>
      <c r="AU817" s="526"/>
      <c r="AV817" s="526"/>
      <c r="AW817" s="526"/>
      <c r="AX817" s="526"/>
      <c r="AY817" s="526"/>
      <c r="AZ817" s="526"/>
      <c r="BA817" s="526"/>
      <c r="BB817" s="526"/>
      <c r="BC817" s="526"/>
      <c r="BD817" s="526"/>
      <c r="BE817" s="526"/>
      <c r="BF817" s="526"/>
      <c r="BG817" s="526"/>
    </row>
    <row r="818" spans="1:59" s="830" customFormat="1" ht="17.25" customHeight="1" x14ac:dyDescent="0.25">
      <c r="A818" s="865"/>
      <c r="B818" s="865"/>
      <c r="C818" s="908"/>
      <c r="G818" s="865"/>
      <c r="H818" s="874"/>
      <c r="I818" s="869"/>
      <c r="J818" s="869"/>
      <c r="K818" s="869"/>
      <c r="L818" s="869"/>
      <c r="M818" s="874"/>
      <c r="O818" s="874"/>
      <c r="P818" s="874"/>
      <c r="Q818" s="874"/>
      <c r="R818" s="874"/>
      <c r="S818" s="874"/>
      <c r="T818" s="874"/>
      <c r="W818" s="874"/>
      <c r="X818" s="874"/>
      <c r="Y818" s="874"/>
      <c r="Z818" s="874"/>
      <c r="AA818" s="874"/>
      <c r="AD818" s="526"/>
      <c r="AE818" s="526"/>
      <c r="AF818" s="526"/>
      <c r="AG818" s="526"/>
      <c r="AH818" s="526"/>
      <c r="AI818" s="526"/>
      <c r="AJ818" s="526"/>
      <c r="AK818" s="526"/>
      <c r="AL818" s="526"/>
      <c r="AM818" s="526"/>
      <c r="AN818" s="526"/>
      <c r="AO818" s="526"/>
      <c r="AP818" s="526"/>
      <c r="AQ818" s="526"/>
      <c r="AR818" s="526"/>
      <c r="AS818" s="526"/>
      <c r="AT818" s="526"/>
      <c r="AU818" s="526"/>
      <c r="AV818" s="526"/>
      <c r="AW818" s="526"/>
      <c r="AX818" s="526"/>
      <c r="AY818" s="526"/>
      <c r="AZ818" s="526"/>
      <c r="BA818" s="526"/>
      <c r="BB818" s="526"/>
      <c r="BC818" s="526"/>
      <c r="BD818" s="526"/>
      <c r="BE818" s="526"/>
      <c r="BF818" s="526"/>
      <c r="BG818" s="526"/>
    </row>
    <row r="819" spans="1:59" s="830" customFormat="1" ht="17.25" customHeight="1" x14ac:dyDescent="0.25">
      <c r="A819" s="865"/>
      <c r="B819" s="865"/>
      <c r="C819" s="908"/>
      <c r="G819" s="865"/>
      <c r="H819" s="874"/>
      <c r="I819" s="869"/>
      <c r="J819" s="869"/>
      <c r="K819" s="869"/>
      <c r="L819" s="869"/>
      <c r="M819" s="874"/>
      <c r="O819" s="874"/>
      <c r="P819" s="874"/>
      <c r="Q819" s="874"/>
      <c r="R819" s="874"/>
      <c r="S819" s="874"/>
      <c r="T819" s="874"/>
      <c r="W819" s="874"/>
      <c r="X819" s="874"/>
      <c r="Y819" s="874"/>
      <c r="Z819" s="874"/>
      <c r="AA819" s="874"/>
      <c r="AD819" s="526"/>
      <c r="AE819" s="526"/>
      <c r="AF819" s="526"/>
      <c r="AG819" s="526"/>
      <c r="AH819" s="526"/>
      <c r="AI819" s="526"/>
      <c r="AJ819" s="526"/>
      <c r="AK819" s="526"/>
      <c r="AL819" s="526"/>
      <c r="AM819" s="526"/>
      <c r="AN819" s="526"/>
      <c r="AO819" s="526"/>
      <c r="AP819" s="526"/>
      <c r="AQ819" s="526"/>
      <c r="AR819" s="526"/>
      <c r="AS819" s="526"/>
      <c r="AT819" s="526"/>
      <c r="AU819" s="526"/>
      <c r="AV819" s="526"/>
      <c r="AW819" s="526"/>
      <c r="AX819" s="526"/>
      <c r="AY819" s="526"/>
      <c r="AZ819" s="526"/>
      <c r="BA819" s="526"/>
      <c r="BB819" s="526"/>
      <c r="BC819" s="526"/>
      <c r="BD819" s="526"/>
      <c r="BE819" s="526"/>
      <c r="BF819" s="526"/>
      <c r="BG819" s="526"/>
    </row>
    <row r="820" spans="1:59" s="830" customFormat="1" ht="17.25" customHeight="1" x14ac:dyDescent="0.25">
      <c r="A820" s="865"/>
      <c r="B820" s="865"/>
      <c r="C820" s="908"/>
      <c r="G820" s="865"/>
      <c r="H820" s="874"/>
      <c r="I820" s="869"/>
      <c r="J820" s="869"/>
      <c r="K820" s="869"/>
      <c r="L820" s="869"/>
      <c r="M820" s="874"/>
      <c r="O820" s="874"/>
      <c r="P820" s="874"/>
      <c r="Q820" s="874"/>
      <c r="R820" s="874"/>
      <c r="S820" s="874"/>
      <c r="T820" s="874"/>
      <c r="W820" s="874"/>
      <c r="X820" s="874"/>
      <c r="Y820" s="874"/>
      <c r="Z820" s="874"/>
      <c r="AA820" s="874"/>
      <c r="AD820" s="526"/>
      <c r="AE820" s="526"/>
      <c r="AF820" s="526"/>
      <c r="AG820" s="526"/>
      <c r="AH820" s="526"/>
      <c r="AI820" s="526"/>
      <c r="AJ820" s="526"/>
      <c r="AK820" s="526"/>
      <c r="AL820" s="526"/>
      <c r="AM820" s="526"/>
      <c r="AN820" s="526"/>
      <c r="AO820" s="526"/>
      <c r="AP820" s="526"/>
      <c r="AQ820" s="526"/>
      <c r="AR820" s="526"/>
      <c r="AS820" s="526"/>
      <c r="AT820" s="526"/>
      <c r="AU820" s="526"/>
      <c r="AV820" s="526"/>
      <c r="AW820" s="526"/>
      <c r="AX820" s="526"/>
      <c r="AY820" s="526"/>
      <c r="AZ820" s="526"/>
      <c r="BA820" s="526"/>
      <c r="BB820" s="526"/>
      <c r="BC820" s="526"/>
      <c r="BD820" s="526"/>
      <c r="BE820" s="526"/>
      <c r="BF820" s="526"/>
      <c r="BG820" s="526"/>
    </row>
    <row r="821" spans="1:59" s="830" customFormat="1" ht="17.25" customHeight="1" x14ac:dyDescent="0.25">
      <c r="A821" s="865"/>
      <c r="B821" s="865"/>
      <c r="C821" s="908"/>
      <c r="G821" s="865"/>
      <c r="H821" s="874"/>
      <c r="I821" s="869"/>
      <c r="J821" s="869"/>
      <c r="K821" s="869"/>
      <c r="L821" s="869"/>
      <c r="M821" s="874"/>
      <c r="O821" s="874"/>
      <c r="P821" s="874"/>
      <c r="Q821" s="874"/>
      <c r="R821" s="874"/>
      <c r="S821" s="874"/>
      <c r="T821" s="874"/>
      <c r="W821" s="874"/>
      <c r="X821" s="874"/>
      <c r="Y821" s="874"/>
      <c r="Z821" s="874"/>
      <c r="AA821" s="874"/>
      <c r="AD821" s="526"/>
      <c r="AE821" s="526"/>
      <c r="AF821" s="526"/>
      <c r="AG821" s="526"/>
      <c r="AH821" s="526"/>
      <c r="AI821" s="526"/>
      <c r="AJ821" s="526"/>
      <c r="AK821" s="526"/>
      <c r="AL821" s="526"/>
      <c r="AM821" s="526"/>
      <c r="AN821" s="526"/>
      <c r="AO821" s="526"/>
      <c r="AP821" s="526"/>
      <c r="AQ821" s="526"/>
      <c r="AR821" s="526"/>
      <c r="AS821" s="526"/>
      <c r="AT821" s="526"/>
      <c r="AU821" s="526"/>
      <c r="AV821" s="526"/>
      <c r="AW821" s="526"/>
      <c r="AX821" s="526"/>
      <c r="AY821" s="526"/>
      <c r="AZ821" s="526"/>
      <c r="BA821" s="526"/>
      <c r="BB821" s="526"/>
      <c r="BC821" s="526"/>
      <c r="BD821" s="526"/>
      <c r="BE821" s="526"/>
      <c r="BF821" s="526"/>
      <c r="BG821" s="526"/>
    </row>
    <row r="822" spans="1:59" s="830" customFormat="1" ht="17.25" customHeight="1" x14ac:dyDescent="0.25">
      <c r="A822" s="865"/>
      <c r="B822" s="865"/>
      <c r="C822" s="908"/>
      <c r="G822" s="865"/>
      <c r="H822" s="874"/>
      <c r="I822" s="869"/>
      <c r="J822" s="869"/>
      <c r="K822" s="869"/>
      <c r="L822" s="869"/>
      <c r="M822" s="874"/>
      <c r="O822" s="874"/>
      <c r="P822" s="874"/>
      <c r="Q822" s="874"/>
      <c r="R822" s="874"/>
      <c r="S822" s="874"/>
      <c r="T822" s="874"/>
      <c r="W822" s="874"/>
      <c r="X822" s="874"/>
      <c r="Y822" s="874"/>
      <c r="Z822" s="874"/>
      <c r="AA822" s="874"/>
      <c r="AD822" s="526"/>
      <c r="AE822" s="526"/>
      <c r="AF822" s="526"/>
      <c r="AG822" s="526"/>
      <c r="AH822" s="526"/>
      <c r="AI822" s="526"/>
      <c r="AJ822" s="526"/>
      <c r="AK822" s="526"/>
      <c r="AL822" s="526"/>
      <c r="AM822" s="526"/>
      <c r="AN822" s="526"/>
      <c r="AO822" s="526"/>
      <c r="AP822" s="526"/>
      <c r="AQ822" s="526"/>
      <c r="AR822" s="526"/>
      <c r="AS822" s="526"/>
      <c r="AT822" s="526"/>
      <c r="AU822" s="526"/>
      <c r="AV822" s="526"/>
      <c r="AW822" s="526"/>
      <c r="AX822" s="526"/>
      <c r="AY822" s="526"/>
      <c r="AZ822" s="526"/>
      <c r="BA822" s="526"/>
      <c r="BB822" s="526"/>
      <c r="BC822" s="526"/>
      <c r="BD822" s="526"/>
      <c r="BE822" s="526"/>
      <c r="BF822" s="526"/>
      <c r="BG822" s="526"/>
    </row>
    <row r="823" spans="1:59" s="830" customFormat="1" ht="17.25" customHeight="1" x14ac:dyDescent="0.25">
      <c r="A823" s="865"/>
      <c r="B823" s="865"/>
      <c r="C823" s="908"/>
      <c r="G823" s="865"/>
      <c r="H823" s="874"/>
      <c r="I823" s="869"/>
      <c r="J823" s="869"/>
      <c r="K823" s="869"/>
      <c r="L823" s="869"/>
      <c r="M823" s="874"/>
      <c r="O823" s="874"/>
      <c r="P823" s="874"/>
      <c r="Q823" s="874"/>
      <c r="R823" s="874"/>
      <c r="S823" s="874"/>
      <c r="T823" s="874"/>
      <c r="W823" s="874"/>
      <c r="X823" s="874"/>
      <c r="Y823" s="874"/>
      <c r="Z823" s="874"/>
      <c r="AA823" s="874"/>
      <c r="AD823" s="526"/>
      <c r="AE823" s="526"/>
      <c r="AF823" s="526"/>
      <c r="AG823" s="526"/>
      <c r="AH823" s="526"/>
      <c r="AI823" s="526"/>
      <c r="AJ823" s="526"/>
      <c r="AK823" s="526"/>
      <c r="AL823" s="526"/>
      <c r="AM823" s="526"/>
      <c r="AN823" s="526"/>
      <c r="AO823" s="526"/>
      <c r="AP823" s="526"/>
      <c r="AQ823" s="526"/>
      <c r="AR823" s="526"/>
      <c r="AS823" s="526"/>
      <c r="AT823" s="526"/>
      <c r="AU823" s="526"/>
      <c r="AV823" s="526"/>
      <c r="AW823" s="526"/>
      <c r="AX823" s="526"/>
      <c r="AY823" s="526"/>
      <c r="AZ823" s="526"/>
      <c r="BA823" s="526"/>
      <c r="BB823" s="526"/>
      <c r="BC823" s="526"/>
      <c r="BD823" s="526"/>
      <c r="BE823" s="526"/>
      <c r="BF823" s="526"/>
      <c r="BG823" s="526"/>
    </row>
    <row r="824" spans="1:59" s="830" customFormat="1" ht="17.25" customHeight="1" x14ac:dyDescent="0.25">
      <c r="A824" s="865"/>
      <c r="B824" s="865"/>
      <c r="C824" s="908"/>
      <c r="G824" s="865"/>
      <c r="H824" s="874"/>
      <c r="I824" s="869"/>
      <c r="J824" s="869"/>
      <c r="K824" s="869"/>
      <c r="L824" s="869"/>
      <c r="M824" s="874"/>
      <c r="O824" s="874"/>
      <c r="P824" s="874"/>
      <c r="Q824" s="874"/>
      <c r="R824" s="874"/>
      <c r="S824" s="874"/>
      <c r="T824" s="874"/>
      <c r="W824" s="874"/>
      <c r="X824" s="874"/>
      <c r="Y824" s="874"/>
      <c r="Z824" s="874"/>
      <c r="AA824" s="874"/>
      <c r="AD824" s="526"/>
      <c r="AE824" s="526"/>
      <c r="AF824" s="526"/>
      <c r="AG824" s="526"/>
      <c r="AH824" s="526"/>
      <c r="AI824" s="526"/>
      <c r="AJ824" s="526"/>
      <c r="AK824" s="526"/>
      <c r="AL824" s="526"/>
      <c r="AM824" s="526"/>
      <c r="AN824" s="526"/>
      <c r="AO824" s="526"/>
      <c r="AP824" s="526"/>
      <c r="AQ824" s="526"/>
      <c r="AR824" s="526"/>
      <c r="AS824" s="526"/>
      <c r="AT824" s="526"/>
      <c r="AU824" s="526"/>
      <c r="AV824" s="526"/>
      <c r="AW824" s="526"/>
      <c r="AX824" s="526"/>
      <c r="AY824" s="526"/>
      <c r="AZ824" s="526"/>
      <c r="BA824" s="526"/>
      <c r="BB824" s="526"/>
      <c r="BC824" s="526"/>
      <c r="BD824" s="526"/>
      <c r="BE824" s="526"/>
      <c r="BF824" s="526"/>
      <c r="BG824" s="526"/>
    </row>
    <row r="825" spans="1:59" s="830" customFormat="1" ht="17.25" customHeight="1" x14ac:dyDescent="0.25">
      <c r="A825" s="865"/>
      <c r="B825" s="865"/>
      <c r="C825" s="908"/>
      <c r="G825" s="865"/>
      <c r="H825" s="874"/>
      <c r="I825" s="869"/>
      <c r="J825" s="869"/>
      <c r="K825" s="869"/>
      <c r="L825" s="869"/>
      <c r="M825" s="874"/>
      <c r="O825" s="874"/>
      <c r="P825" s="874"/>
      <c r="Q825" s="874"/>
      <c r="R825" s="874"/>
      <c r="S825" s="874"/>
      <c r="T825" s="874"/>
      <c r="W825" s="874"/>
      <c r="X825" s="874"/>
      <c r="Y825" s="874"/>
      <c r="Z825" s="874"/>
      <c r="AA825" s="874"/>
      <c r="AD825" s="526"/>
      <c r="AE825" s="526"/>
      <c r="AF825" s="526"/>
      <c r="AG825" s="526"/>
      <c r="AH825" s="526"/>
      <c r="AI825" s="526"/>
      <c r="AJ825" s="526"/>
      <c r="AK825" s="526"/>
      <c r="AL825" s="526"/>
      <c r="AM825" s="526"/>
      <c r="AN825" s="526"/>
      <c r="AO825" s="526"/>
      <c r="AP825" s="526"/>
      <c r="AQ825" s="526"/>
      <c r="AR825" s="526"/>
      <c r="AS825" s="526"/>
      <c r="AT825" s="526"/>
      <c r="AU825" s="526"/>
      <c r="AV825" s="526"/>
      <c r="AW825" s="526"/>
      <c r="AX825" s="526"/>
      <c r="AY825" s="526"/>
      <c r="AZ825" s="526"/>
      <c r="BA825" s="526"/>
      <c r="BB825" s="526"/>
      <c r="BC825" s="526"/>
      <c r="BD825" s="526"/>
      <c r="BE825" s="526"/>
      <c r="BF825" s="526"/>
      <c r="BG825" s="526"/>
    </row>
    <row r="826" spans="1:59" s="830" customFormat="1" ht="17.25" customHeight="1" x14ac:dyDescent="0.25">
      <c r="A826" s="865"/>
      <c r="B826" s="865"/>
      <c r="C826" s="908"/>
      <c r="G826" s="865"/>
      <c r="H826" s="874"/>
      <c r="I826" s="869"/>
      <c r="J826" s="869"/>
      <c r="K826" s="869"/>
      <c r="L826" s="869"/>
      <c r="M826" s="874"/>
      <c r="O826" s="874"/>
      <c r="P826" s="874"/>
      <c r="Q826" s="874"/>
      <c r="R826" s="874"/>
      <c r="S826" s="874"/>
      <c r="T826" s="874"/>
      <c r="W826" s="874"/>
      <c r="X826" s="874"/>
      <c r="Y826" s="874"/>
      <c r="Z826" s="874"/>
      <c r="AA826" s="874"/>
      <c r="AD826" s="526"/>
      <c r="AE826" s="526"/>
      <c r="AF826" s="526"/>
      <c r="AG826" s="526"/>
      <c r="AH826" s="526"/>
      <c r="AI826" s="526"/>
      <c r="AJ826" s="526"/>
      <c r="AK826" s="526"/>
      <c r="AL826" s="526"/>
      <c r="AM826" s="526"/>
      <c r="AN826" s="526"/>
      <c r="AO826" s="526"/>
      <c r="AP826" s="526"/>
      <c r="AQ826" s="526"/>
      <c r="AR826" s="526"/>
      <c r="AS826" s="526"/>
      <c r="AT826" s="526"/>
      <c r="AU826" s="526"/>
      <c r="AV826" s="526"/>
      <c r="AW826" s="526"/>
      <c r="AX826" s="526"/>
      <c r="AY826" s="526"/>
      <c r="AZ826" s="526"/>
      <c r="BA826" s="526"/>
      <c r="BB826" s="526"/>
      <c r="BC826" s="526"/>
      <c r="BD826" s="526"/>
      <c r="BE826" s="526"/>
      <c r="BF826" s="526"/>
      <c r="BG826" s="526"/>
    </row>
    <row r="827" spans="1:59" s="830" customFormat="1" ht="17.25" customHeight="1" x14ac:dyDescent="0.25">
      <c r="A827" s="865"/>
      <c r="B827" s="865"/>
      <c r="C827" s="908"/>
      <c r="G827" s="865"/>
      <c r="H827" s="874"/>
      <c r="I827" s="869"/>
      <c r="J827" s="869"/>
      <c r="K827" s="869"/>
      <c r="L827" s="869"/>
      <c r="M827" s="874"/>
      <c r="O827" s="874"/>
      <c r="P827" s="874"/>
      <c r="Q827" s="874"/>
      <c r="R827" s="874"/>
      <c r="S827" s="874"/>
      <c r="T827" s="874"/>
      <c r="W827" s="874"/>
      <c r="X827" s="874"/>
      <c r="Y827" s="874"/>
      <c r="Z827" s="874"/>
      <c r="AA827" s="874"/>
      <c r="AD827" s="526"/>
      <c r="AE827" s="526"/>
      <c r="AF827" s="526"/>
      <c r="AG827" s="526"/>
      <c r="AH827" s="526"/>
      <c r="AI827" s="526"/>
      <c r="AJ827" s="526"/>
      <c r="AK827" s="526"/>
      <c r="AL827" s="526"/>
      <c r="AM827" s="526"/>
      <c r="AN827" s="526"/>
      <c r="AO827" s="526"/>
      <c r="AP827" s="526"/>
      <c r="AQ827" s="526"/>
      <c r="AR827" s="526"/>
      <c r="AS827" s="526"/>
      <c r="AT827" s="526"/>
      <c r="AU827" s="526"/>
      <c r="AV827" s="526"/>
      <c r="AW827" s="526"/>
      <c r="AX827" s="526"/>
      <c r="AY827" s="526"/>
      <c r="AZ827" s="526"/>
      <c r="BA827" s="526"/>
      <c r="BB827" s="526"/>
      <c r="BC827" s="526"/>
      <c r="BD827" s="526"/>
      <c r="BE827" s="526"/>
      <c r="BF827" s="526"/>
      <c r="BG827" s="526"/>
    </row>
    <row r="828" spans="1:59" s="830" customFormat="1" ht="17.25" customHeight="1" x14ac:dyDescent="0.25">
      <c r="A828" s="865"/>
      <c r="B828" s="865"/>
      <c r="C828" s="908"/>
      <c r="G828" s="865"/>
      <c r="H828" s="874"/>
      <c r="I828" s="869"/>
      <c r="J828" s="869"/>
      <c r="K828" s="869"/>
      <c r="L828" s="869"/>
      <c r="M828" s="874"/>
      <c r="O828" s="874"/>
      <c r="P828" s="874"/>
      <c r="Q828" s="874"/>
      <c r="R828" s="874"/>
      <c r="S828" s="874"/>
      <c r="T828" s="874"/>
      <c r="W828" s="874"/>
      <c r="X828" s="874"/>
      <c r="Y828" s="874"/>
      <c r="Z828" s="874"/>
      <c r="AA828" s="874"/>
      <c r="AD828" s="526"/>
      <c r="AE828" s="526"/>
      <c r="AF828" s="526"/>
      <c r="AG828" s="526"/>
      <c r="AH828" s="526"/>
      <c r="AI828" s="526"/>
      <c r="AJ828" s="526"/>
      <c r="AK828" s="526"/>
      <c r="AL828" s="526"/>
      <c r="AM828" s="526"/>
      <c r="AN828" s="526"/>
      <c r="AO828" s="526"/>
      <c r="AP828" s="526"/>
      <c r="AQ828" s="526"/>
      <c r="AR828" s="526"/>
      <c r="AS828" s="526"/>
      <c r="AT828" s="526"/>
      <c r="AU828" s="526"/>
      <c r="AV828" s="526"/>
      <c r="AW828" s="526"/>
      <c r="AX828" s="526"/>
      <c r="AY828" s="526"/>
      <c r="AZ828" s="526"/>
      <c r="BA828" s="526"/>
      <c r="BB828" s="526"/>
      <c r="BC828" s="526"/>
      <c r="BD828" s="526"/>
      <c r="BE828" s="526"/>
      <c r="BF828" s="526"/>
      <c r="BG828" s="526"/>
    </row>
    <row r="829" spans="1:59" s="830" customFormat="1" ht="17.25" customHeight="1" x14ac:dyDescent="0.25">
      <c r="A829" s="865"/>
      <c r="B829" s="865"/>
      <c r="C829" s="908"/>
      <c r="G829" s="865"/>
      <c r="H829" s="874"/>
      <c r="I829" s="869"/>
      <c r="J829" s="869"/>
      <c r="K829" s="869"/>
      <c r="L829" s="869"/>
      <c r="M829" s="874"/>
      <c r="O829" s="874"/>
      <c r="P829" s="874"/>
      <c r="Q829" s="874"/>
      <c r="R829" s="874"/>
      <c r="S829" s="874"/>
      <c r="T829" s="874"/>
      <c r="W829" s="874"/>
      <c r="X829" s="874"/>
      <c r="Y829" s="874"/>
      <c r="Z829" s="874"/>
      <c r="AA829" s="874"/>
      <c r="AD829" s="526"/>
      <c r="AE829" s="526"/>
      <c r="AF829" s="526"/>
      <c r="AG829" s="526"/>
      <c r="AH829" s="526"/>
      <c r="AI829" s="526"/>
      <c r="AJ829" s="526"/>
      <c r="AK829" s="526"/>
      <c r="AL829" s="526"/>
      <c r="AM829" s="526"/>
      <c r="AN829" s="526"/>
      <c r="AO829" s="526"/>
      <c r="AP829" s="526"/>
      <c r="AQ829" s="526"/>
      <c r="AR829" s="526"/>
      <c r="AS829" s="526"/>
      <c r="AT829" s="526"/>
      <c r="AU829" s="526"/>
      <c r="AV829" s="526"/>
      <c r="AW829" s="526"/>
      <c r="AX829" s="526"/>
      <c r="AY829" s="526"/>
      <c r="AZ829" s="526"/>
      <c r="BA829" s="526"/>
      <c r="BB829" s="526"/>
      <c r="BC829" s="526"/>
      <c r="BD829" s="526"/>
      <c r="BE829" s="526"/>
      <c r="BF829" s="526"/>
      <c r="BG829" s="526"/>
    </row>
    <row r="830" spans="1:59" s="830" customFormat="1" ht="17.25" customHeight="1" x14ac:dyDescent="0.25">
      <c r="A830" s="865"/>
      <c r="B830" s="865"/>
      <c r="C830" s="908"/>
      <c r="G830" s="865"/>
      <c r="H830" s="874"/>
      <c r="I830" s="869"/>
      <c r="J830" s="869"/>
      <c r="K830" s="869"/>
      <c r="L830" s="869"/>
      <c r="M830" s="874"/>
      <c r="O830" s="874"/>
      <c r="P830" s="874"/>
      <c r="Q830" s="874"/>
      <c r="R830" s="874"/>
      <c r="S830" s="874"/>
      <c r="T830" s="874"/>
      <c r="W830" s="874"/>
      <c r="X830" s="874"/>
      <c r="Y830" s="874"/>
      <c r="Z830" s="874"/>
      <c r="AA830" s="874"/>
      <c r="AD830" s="526"/>
      <c r="AE830" s="526"/>
      <c r="AF830" s="526"/>
      <c r="AG830" s="526"/>
      <c r="AH830" s="526"/>
      <c r="AI830" s="526"/>
      <c r="AJ830" s="526"/>
      <c r="AK830" s="526"/>
      <c r="AL830" s="526"/>
      <c r="AM830" s="526"/>
      <c r="AN830" s="526"/>
      <c r="AO830" s="526"/>
      <c r="AP830" s="526"/>
      <c r="AQ830" s="526"/>
      <c r="AR830" s="526"/>
      <c r="AS830" s="526"/>
      <c r="AT830" s="526"/>
      <c r="AU830" s="526"/>
      <c r="AV830" s="526"/>
      <c r="AW830" s="526"/>
      <c r="AX830" s="526"/>
      <c r="AY830" s="526"/>
      <c r="AZ830" s="526"/>
      <c r="BA830" s="526"/>
      <c r="BB830" s="526"/>
      <c r="BC830" s="526"/>
      <c r="BD830" s="526"/>
      <c r="BE830" s="526"/>
      <c r="BF830" s="526"/>
      <c r="BG830" s="526"/>
    </row>
    <row r="831" spans="1:59" s="830" customFormat="1" ht="17.25" customHeight="1" x14ac:dyDescent="0.25">
      <c r="A831" s="865"/>
      <c r="B831" s="865"/>
      <c r="C831" s="908"/>
      <c r="G831" s="865"/>
      <c r="H831" s="874"/>
      <c r="I831" s="869"/>
      <c r="J831" s="869"/>
      <c r="K831" s="869"/>
      <c r="L831" s="869"/>
      <c r="M831" s="874"/>
      <c r="O831" s="874"/>
      <c r="P831" s="874"/>
      <c r="Q831" s="874"/>
      <c r="R831" s="874"/>
      <c r="S831" s="874"/>
      <c r="T831" s="874"/>
      <c r="W831" s="874"/>
      <c r="X831" s="874"/>
      <c r="Y831" s="874"/>
      <c r="Z831" s="874"/>
      <c r="AA831" s="874"/>
      <c r="AD831" s="526"/>
      <c r="AE831" s="526"/>
      <c r="AF831" s="526"/>
      <c r="AG831" s="526"/>
      <c r="AH831" s="526"/>
      <c r="AI831" s="526"/>
      <c r="AJ831" s="526"/>
      <c r="AK831" s="526"/>
      <c r="AL831" s="526"/>
      <c r="AM831" s="526"/>
      <c r="AN831" s="526"/>
      <c r="AO831" s="526"/>
      <c r="AP831" s="526"/>
      <c r="AQ831" s="526"/>
      <c r="AR831" s="526"/>
      <c r="AS831" s="526"/>
      <c r="AT831" s="526"/>
      <c r="AU831" s="526"/>
      <c r="AV831" s="526"/>
      <c r="AW831" s="526"/>
      <c r="AX831" s="526"/>
      <c r="AY831" s="526"/>
      <c r="AZ831" s="526"/>
      <c r="BA831" s="526"/>
      <c r="BB831" s="526"/>
      <c r="BC831" s="526"/>
      <c r="BD831" s="526"/>
      <c r="BE831" s="526"/>
      <c r="BF831" s="526"/>
      <c r="BG831" s="526"/>
    </row>
    <row r="832" spans="1:59" s="830" customFormat="1" ht="17.25" customHeight="1" x14ac:dyDescent="0.25">
      <c r="A832" s="865"/>
      <c r="B832" s="865"/>
      <c r="C832" s="908"/>
      <c r="G832" s="865"/>
      <c r="H832" s="874"/>
      <c r="I832" s="869"/>
      <c r="J832" s="869"/>
      <c r="K832" s="869"/>
      <c r="L832" s="869"/>
      <c r="M832" s="874"/>
      <c r="O832" s="874"/>
      <c r="P832" s="874"/>
      <c r="Q832" s="874"/>
      <c r="R832" s="874"/>
      <c r="S832" s="874"/>
      <c r="T832" s="874"/>
      <c r="W832" s="874"/>
      <c r="X832" s="874"/>
      <c r="Y832" s="874"/>
      <c r="Z832" s="874"/>
      <c r="AA832" s="874"/>
      <c r="AD832" s="526"/>
      <c r="AE832" s="526"/>
      <c r="AF832" s="526"/>
      <c r="AG832" s="526"/>
      <c r="AH832" s="526"/>
      <c r="AI832" s="526"/>
      <c r="AJ832" s="526"/>
      <c r="AK832" s="526"/>
      <c r="AL832" s="526"/>
      <c r="AM832" s="526"/>
      <c r="AN832" s="526"/>
      <c r="AO832" s="526"/>
      <c r="AP832" s="526"/>
      <c r="AQ832" s="526"/>
      <c r="AR832" s="526"/>
      <c r="AS832" s="526"/>
      <c r="AT832" s="526"/>
      <c r="AU832" s="526"/>
      <c r="AV832" s="526"/>
      <c r="AW832" s="526"/>
      <c r="AX832" s="526"/>
      <c r="AY832" s="526"/>
      <c r="AZ832" s="526"/>
      <c r="BA832" s="526"/>
      <c r="BB832" s="526"/>
      <c r="BC832" s="526"/>
      <c r="BD832" s="526"/>
      <c r="BE832" s="526"/>
      <c r="BF832" s="526"/>
      <c r="BG832" s="526"/>
    </row>
    <row r="833" spans="1:59" s="830" customFormat="1" ht="17.25" customHeight="1" x14ac:dyDescent="0.25">
      <c r="A833" s="865"/>
      <c r="B833" s="865"/>
      <c r="C833" s="908"/>
      <c r="G833" s="865"/>
      <c r="H833" s="874"/>
      <c r="I833" s="869"/>
      <c r="J833" s="869"/>
      <c r="K833" s="869"/>
      <c r="L833" s="869"/>
      <c r="M833" s="874"/>
      <c r="O833" s="874"/>
      <c r="P833" s="874"/>
      <c r="Q833" s="874"/>
      <c r="R833" s="874"/>
      <c r="S833" s="874"/>
      <c r="T833" s="874"/>
      <c r="W833" s="874"/>
      <c r="X833" s="874"/>
      <c r="Y833" s="874"/>
      <c r="Z833" s="874"/>
      <c r="AA833" s="874"/>
      <c r="AD833" s="526"/>
      <c r="AE833" s="526"/>
      <c r="AF833" s="526"/>
      <c r="AG833" s="526"/>
      <c r="AH833" s="526"/>
      <c r="AI833" s="526"/>
      <c r="AJ833" s="526"/>
      <c r="AK833" s="526"/>
      <c r="AL833" s="526"/>
      <c r="AM833" s="526"/>
      <c r="AN833" s="526"/>
      <c r="AO833" s="526"/>
      <c r="AP833" s="526"/>
      <c r="AQ833" s="526"/>
      <c r="AR833" s="526"/>
      <c r="AS833" s="526"/>
      <c r="AT833" s="526"/>
      <c r="AU833" s="526"/>
      <c r="AV833" s="526"/>
      <c r="AW833" s="526"/>
      <c r="AX833" s="526"/>
      <c r="AY833" s="526"/>
      <c r="AZ833" s="526"/>
      <c r="BA833" s="526"/>
      <c r="BB833" s="526"/>
      <c r="BC833" s="526"/>
      <c r="BD833" s="526"/>
      <c r="BE833" s="526"/>
      <c r="BF833" s="526"/>
      <c r="BG833" s="526"/>
    </row>
    <row r="834" spans="1:59" s="830" customFormat="1" ht="17.25" customHeight="1" x14ac:dyDescent="0.25">
      <c r="A834" s="865"/>
      <c r="B834" s="865"/>
      <c r="C834" s="908"/>
      <c r="G834" s="865"/>
      <c r="H834" s="874"/>
      <c r="I834" s="869"/>
      <c r="J834" s="869"/>
      <c r="K834" s="869"/>
      <c r="L834" s="869"/>
      <c r="M834" s="874"/>
      <c r="O834" s="874"/>
      <c r="P834" s="874"/>
      <c r="Q834" s="874"/>
      <c r="R834" s="874"/>
      <c r="S834" s="874"/>
      <c r="T834" s="874"/>
      <c r="W834" s="874"/>
      <c r="X834" s="874"/>
      <c r="Y834" s="874"/>
      <c r="Z834" s="874"/>
      <c r="AA834" s="874"/>
      <c r="AD834" s="526"/>
      <c r="AE834" s="526"/>
      <c r="AF834" s="526"/>
      <c r="AG834" s="526"/>
      <c r="AH834" s="526"/>
      <c r="AI834" s="526"/>
      <c r="AJ834" s="526"/>
      <c r="AK834" s="526"/>
      <c r="AL834" s="526"/>
      <c r="AM834" s="526"/>
      <c r="AN834" s="526"/>
      <c r="AO834" s="526"/>
      <c r="AP834" s="526"/>
      <c r="AQ834" s="526"/>
      <c r="AR834" s="526"/>
      <c r="AS834" s="526"/>
      <c r="AT834" s="526"/>
      <c r="AU834" s="526"/>
      <c r="AV834" s="526"/>
      <c r="AW834" s="526"/>
      <c r="AX834" s="526"/>
      <c r="AY834" s="526"/>
      <c r="AZ834" s="526"/>
      <c r="BA834" s="526"/>
      <c r="BB834" s="526"/>
      <c r="BC834" s="526"/>
      <c r="BD834" s="526"/>
      <c r="BE834" s="526"/>
      <c r="BF834" s="526"/>
      <c r="BG834" s="526"/>
    </row>
    <row r="835" spans="1:59" s="830" customFormat="1" ht="17.25" customHeight="1" x14ac:dyDescent="0.25">
      <c r="A835" s="865"/>
      <c r="B835" s="865"/>
      <c r="C835" s="908"/>
      <c r="G835" s="865"/>
      <c r="H835" s="874"/>
      <c r="I835" s="869"/>
      <c r="J835" s="869"/>
      <c r="K835" s="869"/>
      <c r="L835" s="869"/>
      <c r="M835" s="874"/>
      <c r="O835" s="874"/>
      <c r="P835" s="874"/>
      <c r="Q835" s="874"/>
      <c r="R835" s="874"/>
      <c r="S835" s="874"/>
      <c r="T835" s="874"/>
      <c r="W835" s="874"/>
      <c r="X835" s="874"/>
      <c r="Y835" s="874"/>
      <c r="Z835" s="874"/>
      <c r="AA835" s="874"/>
      <c r="AD835" s="526"/>
      <c r="AE835" s="526"/>
      <c r="AF835" s="526"/>
      <c r="AG835" s="526"/>
      <c r="AH835" s="526"/>
      <c r="AI835" s="526"/>
      <c r="AJ835" s="526"/>
      <c r="AK835" s="526"/>
      <c r="AL835" s="526"/>
      <c r="AM835" s="526"/>
      <c r="AN835" s="526"/>
      <c r="AO835" s="526"/>
      <c r="AP835" s="526"/>
      <c r="AQ835" s="526"/>
      <c r="AR835" s="526"/>
      <c r="AS835" s="526"/>
      <c r="AT835" s="526"/>
      <c r="AU835" s="526"/>
      <c r="AV835" s="526"/>
      <c r="AW835" s="526"/>
      <c r="AX835" s="526"/>
      <c r="AY835" s="526"/>
      <c r="AZ835" s="526"/>
      <c r="BA835" s="526"/>
      <c r="BB835" s="526"/>
      <c r="BC835" s="526"/>
      <c r="BD835" s="526"/>
      <c r="BE835" s="526"/>
      <c r="BF835" s="526"/>
      <c r="BG835" s="526"/>
    </row>
    <row r="836" spans="1:59" s="830" customFormat="1" ht="17.25" customHeight="1" x14ac:dyDescent="0.25">
      <c r="A836" s="865"/>
      <c r="B836" s="865"/>
      <c r="C836" s="908"/>
      <c r="G836" s="865"/>
      <c r="H836" s="874"/>
      <c r="I836" s="869"/>
      <c r="J836" s="869"/>
      <c r="K836" s="869"/>
      <c r="L836" s="869"/>
      <c r="M836" s="874"/>
      <c r="O836" s="874"/>
      <c r="P836" s="874"/>
      <c r="Q836" s="874"/>
      <c r="R836" s="874"/>
      <c r="S836" s="874"/>
      <c r="T836" s="874"/>
      <c r="W836" s="874"/>
      <c r="X836" s="874"/>
      <c r="Y836" s="874"/>
      <c r="Z836" s="874"/>
      <c r="AA836" s="874"/>
      <c r="AD836" s="526"/>
      <c r="AE836" s="526"/>
      <c r="AF836" s="526"/>
      <c r="AG836" s="526"/>
      <c r="AH836" s="526"/>
      <c r="AI836" s="526"/>
      <c r="AJ836" s="526"/>
      <c r="AK836" s="526"/>
      <c r="AL836" s="526"/>
      <c r="AM836" s="526"/>
      <c r="AN836" s="526"/>
      <c r="AO836" s="526"/>
      <c r="AP836" s="526"/>
      <c r="AQ836" s="526"/>
      <c r="AR836" s="526"/>
      <c r="AS836" s="526"/>
      <c r="AT836" s="526"/>
      <c r="AU836" s="526"/>
      <c r="AV836" s="526"/>
      <c r="AW836" s="526"/>
      <c r="AX836" s="526"/>
      <c r="AY836" s="526"/>
      <c r="AZ836" s="526"/>
      <c r="BA836" s="526"/>
      <c r="BB836" s="526"/>
      <c r="BC836" s="526"/>
      <c r="BD836" s="526"/>
      <c r="BE836" s="526"/>
      <c r="BF836" s="526"/>
      <c r="BG836" s="526"/>
    </row>
    <row r="837" spans="1:59" s="830" customFormat="1" ht="17.25" customHeight="1" x14ac:dyDescent="0.25">
      <c r="A837" s="865"/>
      <c r="B837" s="865"/>
      <c r="C837" s="908"/>
      <c r="G837" s="865"/>
      <c r="H837" s="874"/>
      <c r="I837" s="869"/>
      <c r="J837" s="869"/>
      <c r="K837" s="869"/>
      <c r="L837" s="869"/>
      <c r="M837" s="874"/>
      <c r="O837" s="874"/>
      <c r="P837" s="874"/>
      <c r="Q837" s="874"/>
      <c r="R837" s="874"/>
      <c r="S837" s="874"/>
      <c r="T837" s="874"/>
      <c r="W837" s="874"/>
      <c r="X837" s="874"/>
      <c r="Y837" s="874"/>
      <c r="Z837" s="874"/>
      <c r="AA837" s="874"/>
      <c r="AD837" s="526"/>
      <c r="AE837" s="526"/>
      <c r="AF837" s="526"/>
      <c r="AG837" s="526"/>
      <c r="AH837" s="526"/>
      <c r="AI837" s="526"/>
      <c r="AJ837" s="526"/>
      <c r="AK837" s="526"/>
      <c r="AL837" s="526"/>
      <c r="AM837" s="526"/>
      <c r="AN837" s="526"/>
      <c r="AO837" s="526"/>
      <c r="AP837" s="526"/>
      <c r="AQ837" s="526"/>
      <c r="AR837" s="526"/>
      <c r="AS837" s="526"/>
      <c r="AT837" s="526"/>
      <c r="AU837" s="526"/>
      <c r="AV837" s="526"/>
      <c r="AW837" s="526"/>
      <c r="AX837" s="526"/>
      <c r="AY837" s="526"/>
      <c r="AZ837" s="526"/>
      <c r="BA837" s="526"/>
      <c r="BB837" s="526"/>
      <c r="BC837" s="526"/>
      <c r="BD837" s="526"/>
      <c r="BE837" s="526"/>
      <c r="BF837" s="526"/>
      <c r="BG837" s="526"/>
    </row>
    <row r="838" spans="1:59" s="830" customFormat="1" ht="17.25" customHeight="1" x14ac:dyDescent="0.25">
      <c r="A838" s="865"/>
      <c r="B838" s="865"/>
      <c r="C838" s="908"/>
      <c r="G838" s="865"/>
      <c r="H838" s="874"/>
      <c r="I838" s="869"/>
      <c r="J838" s="869"/>
      <c r="K838" s="869"/>
      <c r="L838" s="869"/>
      <c r="M838" s="874"/>
      <c r="O838" s="874"/>
      <c r="P838" s="874"/>
      <c r="Q838" s="874"/>
      <c r="R838" s="874"/>
      <c r="S838" s="874"/>
      <c r="T838" s="874"/>
      <c r="W838" s="874"/>
      <c r="X838" s="874"/>
      <c r="Y838" s="874"/>
      <c r="Z838" s="874"/>
      <c r="AA838" s="874"/>
      <c r="AD838" s="526"/>
      <c r="AE838" s="526"/>
      <c r="AF838" s="526"/>
      <c r="AG838" s="526"/>
      <c r="AH838" s="526"/>
      <c r="AI838" s="526"/>
      <c r="AJ838" s="526"/>
      <c r="AK838" s="526"/>
      <c r="AL838" s="526"/>
      <c r="AM838" s="526"/>
      <c r="AN838" s="526"/>
      <c r="AO838" s="526"/>
      <c r="AP838" s="526"/>
      <c r="AQ838" s="526"/>
      <c r="AR838" s="526"/>
      <c r="AS838" s="526"/>
      <c r="AT838" s="526"/>
      <c r="AU838" s="526"/>
      <c r="AV838" s="526"/>
      <c r="AW838" s="526"/>
      <c r="AX838" s="526"/>
      <c r="AY838" s="526"/>
      <c r="AZ838" s="526"/>
      <c r="BA838" s="526"/>
      <c r="BB838" s="526"/>
      <c r="BC838" s="526"/>
      <c r="BD838" s="526"/>
      <c r="BE838" s="526"/>
      <c r="BF838" s="526"/>
      <c r="BG838" s="526"/>
    </row>
    <row r="839" spans="1:59" s="830" customFormat="1" ht="17.25" customHeight="1" x14ac:dyDescent="0.25">
      <c r="A839" s="865"/>
      <c r="B839" s="865"/>
      <c r="C839" s="908"/>
      <c r="G839" s="865"/>
      <c r="H839" s="874"/>
      <c r="I839" s="869"/>
      <c r="J839" s="869"/>
      <c r="K839" s="869"/>
      <c r="L839" s="869"/>
      <c r="M839" s="874"/>
      <c r="O839" s="874"/>
      <c r="P839" s="874"/>
      <c r="Q839" s="874"/>
      <c r="R839" s="874"/>
      <c r="S839" s="874"/>
      <c r="T839" s="874"/>
      <c r="W839" s="874"/>
      <c r="X839" s="874"/>
      <c r="Y839" s="874"/>
      <c r="Z839" s="874"/>
      <c r="AA839" s="874"/>
      <c r="AD839" s="526"/>
      <c r="AE839" s="526"/>
      <c r="AF839" s="526"/>
      <c r="AG839" s="526"/>
      <c r="AH839" s="526"/>
      <c r="AI839" s="526"/>
      <c r="AJ839" s="526"/>
      <c r="AK839" s="526"/>
      <c r="AL839" s="526"/>
      <c r="AM839" s="526"/>
      <c r="AN839" s="526"/>
      <c r="AO839" s="526"/>
      <c r="AP839" s="526"/>
      <c r="AQ839" s="526"/>
      <c r="AR839" s="526"/>
      <c r="AS839" s="526"/>
      <c r="AT839" s="526"/>
      <c r="AU839" s="526"/>
      <c r="AV839" s="526"/>
      <c r="AW839" s="526"/>
      <c r="AX839" s="526"/>
      <c r="AY839" s="526"/>
      <c r="AZ839" s="526"/>
      <c r="BA839" s="526"/>
      <c r="BB839" s="526"/>
      <c r="BC839" s="526"/>
      <c r="BD839" s="526"/>
      <c r="BE839" s="526"/>
      <c r="BF839" s="526"/>
      <c r="BG839" s="526"/>
    </row>
    <row r="840" spans="1:59" s="830" customFormat="1" ht="17.25" customHeight="1" x14ac:dyDescent="0.25">
      <c r="A840" s="865"/>
      <c r="B840" s="865"/>
      <c r="C840" s="908"/>
      <c r="G840" s="865"/>
      <c r="H840" s="874"/>
      <c r="I840" s="869"/>
      <c r="J840" s="869"/>
      <c r="K840" s="869"/>
      <c r="L840" s="869"/>
      <c r="M840" s="874"/>
      <c r="O840" s="874"/>
      <c r="P840" s="874"/>
      <c r="Q840" s="874"/>
      <c r="R840" s="874"/>
      <c r="S840" s="874"/>
      <c r="T840" s="874"/>
      <c r="W840" s="874"/>
      <c r="X840" s="874"/>
      <c r="Y840" s="874"/>
      <c r="Z840" s="874"/>
      <c r="AA840" s="874"/>
      <c r="AD840" s="526"/>
      <c r="AE840" s="526"/>
      <c r="AF840" s="526"/>
      <c r="AG840" s="526"/>
      <c r="AH840" s="526"/>
      <c r="AI840" s="526"/>
      <c r="AJ840" s="526"/>
      <c r="AK840" s="526"/>
      <c r="AL840" s="526"/>
      <c r="AM840" s="526"/>
      <c r="AN840" s="526"/>
      <c r="AO840" s="526"/>
      <c r="AP840" s="526"/>
      <c r="AQ840" s="526"/>
      <c r="AR840" s="526"/>
      <c r="AS840" s="526"/>
      <c r="AT840" s="526"/>
      <c r="AU840" s="526"/>
      <c r="AV840" s="526"/>
      <c r="AW840" s="526"/>
      <c r="AX840" s="526"/>
      <c r="AY840" s="526"/>
      <c r="AZ840" s="526"/>
      <c r="BA840" s="526"/>
      <c r="BB840" s="526"/>
      <c r="BC840" s="526"/>
      <c r="BD840" s="526"/>
      <c r="BE840" s="526"/>
      <c r="BF840" s="526"/>
      <c r="BG840" s="526"/>
    </row>
    <row r="841" spans="1:59" s="830" customFormat="1" ht="17.25" customHeight="1" x14ac:dyDescent="0.25">
      <c r="A841" s="865"/>
      <c r="B841" s="865"/>
      <c r="C841" s="908"/>
      <c r="G841" s="865"/>
      <c r="H841" s="874"/>
      <c r="I841" s="869"/>
      <c r="J841" s="869"/>
      <c r="K841" s="869"/>
      <c r="L841" s="869"/>
      <c r="M841" s="874"/>
      <c r="O841" s="874"/>
      <c r="P841" s="874"/>
      <c r="Q841" s="874"/>
      <c r="R841" s="874"/>
      <c r="S841" s="874"/>
      <c r="T841" s="874"/>
      <c r="W841" s="874"/>
      <c r="X841" s="874"/>
      <c r="Y841" s="874"/>
      <c r="Z841" s="874"/>
      <c r="AA841" s="874"/>
      <c r="AD841" s="526"/>
      <c r="AE841" s="526"/>
      <c r="AF841" s="526"/>
      <c r="AG841" s="526"/>
      <c r="AH841" s="526"/>
      <c r="AI841" s="526"/>
      <c r="AJ841" s="526"/>
      <c r="AK841" s="526"/>
      <c r="AL841" s="526"/>
      <c r="AM841" s="526"/>
      <c r="AN841" s="526"/>
      <c r="AO841" s="526"/>
      <c r="AP841" s="526"/>
      <c r="AQ841" s="526"/>
      <c r="AR841" s="526"/>
      <c r="AS841" s="526"/>
      <c r="AT841" s="526"/>
      <c r="AU841" s="526"/>
      <c r="AV841" s="526"/>
      <c r="AW841" s="526"/>
      <c r="AX841" s="526"/>
      <c r="AY841" s="526"/>
      <c r="AZ841" s="526"/>
      <c r="BA841" s="526"/>
      <c r="BB841" s="526"/>
      <c r="BC841" s="526"/>
      <c r="BD841" s="526"/>
      <c r="BE841" s="526"/>
      <c r="BF841" s="526"/>
      <c r="BG841" s="526"/>
    </row>
    <row r="842" spans="1:59" s="830" customFormat="1" ht="17.25" customHeight="1" x14ac:dyDescent="0.25">
      <c r="A842" s="865"/>
      <c r="B842" s="865"/>
      <c r="C842" s="908"/>
      <c r="G842" s="865"/>
      <c r="H842" s="874"/>
      <c r="I842" s="869"/>
      <c r="J842" s="869"/>
      <c r="K842" s="869"/>
      <c r="L842" s="869"/>
      <c r="M842" s="874"/>
      <c r="O842" s="874"/>
      <c r="P842" s="874"/>
      <c r="Q842" s="874"/>
      <c r="R842" s="874"/>
      <c r="S842" s="874"/>
      <c r="T842" s="874"/>
      <c r="W842" s="874"/>
      <c r="X842" s="874"/>
      <c r="Y842" s="874"/>
      <c r="Z842" s="874"/>
      <c r="AA842" s="874"/>
      <c r="AD842" s="526"/>
      <c r="AE842" s="526"/>
      <c r="AF842" s="526"/>
      <c r="AG842" s="526"/>
      <c r="AH842" s="526"/>
      <c r="AI842" s="526"/>
      <c r="AJ842" s="526"/>
      <c r="AK842" s="526"/>
      <c r="AL842" s="526"/>
      <c r="AM842" s="526"/>
      <c r="AN842" s="526"/>
      <c r="AO842" s="526"/>
      <c r="AP842" s="526"/>
      <c r="AQ842" s="526"/>
      <c r="AR842" s="526"/>
      <c r="AS842" s="526"/>
      <c r="AT842" s="526"/>
      <c r="AU842" s="526"/>
      <c r="AV842" s="526"/>
      <c r="AW842" s="526"/>
      <c r="AX842" s="526"/>
      <c r="AY842" s="526"/>
      <c r="AZ842" s="526"/>
      <c r="BA842" s="526"/>
      <c r="BB842" s="526"/>
      <c r="BC842" s="526"/>
      <c r="BD842" s="526"/>
      <c r="BE842" s="526"/>
      <c r="BF842" s="526"/>
      <c r="BG842" s="526"/>
    </row>
    <row r="843" spans="1:59" s="830" customFormat="1" ht="17.25" customHeight="1" x14ac:dyDescent="0.25">
      <c r="A843" s="865"/>
      <c r="B843" s="865"/>
      <c r="C843" s="908"/>
      <c r="G843" s="865"/>
      <c r="H843" s="874"/>
      <c r="I843" s="869"/>
      <c r="J843" s="869"/>
      <c r="K843" s="869"/>
      <c r="L843" s="869"/>
      <c r="M843" s="874"/>
      <c r="O843" s="874"/>
      <c r="P843" s="874"/>
      <c r="Q843" s="874"/>
      <c r="R843" s="874"/>
      <c r="S843" s="874"/>
      <c r="T843" s="874"/>
      <c r="W843" s="874"/>
      <c r="X843" s="874"/>
      <c r="Y843" s="874"/>
      <c r="Z843" s="874"/>
      <c r="AA843" s="874"/>
      <c r="AD843" s="526"/>
      <c r="AE843" s="526"/>
      <c r="AF843" s="526"/>
      <c r="AG843" s="526"/>
      <c r="AH843" s="526"/>
      <c r="AI843" s="526"/>
      <c r="AJ843" s="526"/>
      <c r="AK843" s="526"/>
      <c r="AL843" s="526"/>
      <c r="AM843" s="526"/>
      <c r="AN843" s="526"/>
      <c r="AO843" s="526"/>
      <c r="AP843" s="526"/>
      <c r="AQ843" s="526"/>
      <c r="AR843" s="526"/>
      <c r="AS843" s="526"/>
      <c r="AT843" s="526"/>
      <c r="AU843" s="526"/>
      <c r="AV843" s="526"/>
      <c r="AW843" s="526"/>
      <c r="AX843" s="526"/>
      <c r="AY843" s="526"/>
      <c r="AZ843" s="526"/>
      <c r="BA843" s="526"/>
      <c r="BB843" s="526"/>
      <c r="BC843" s="526"/>
      <c r="BD843" s="526"/>
      <c r="BE843" s="526"/>
      <c r="BF843" s="526"/>
      <c r="BG843" s="526"/>
    </row>
    <row r="844" spans="1:59" s="830" customFormat="1" ht="17.25" customHeight="1" x14ac:dyDescent="0.25">
      <c r="A844" s="865"/>
      <c r="B844" s="865"/>
      <c r="C844" s="908"/>
      <c r="G844" s="865"/>
      <c r="H844" s="874"/>
      <c r="I844" s="869"/>
      <c r="J844" s="869"/>
      <c r="K844" s="869"/>
      <c r="L844" s="869"/>
      <c r="M844" s="874"/>
      <c r="O844" s="874"/>
      <c r="P844" s="874"/>
      <c r="Q844" s="874"/>
      <c r="R844" s="874"/>
      <c r="S844" s="874"/>
      <c r="T844" s="874"/>
      <c r="W844" s="874"/>
      <c r="X844" s="874"/>
      <c r="Y844" s="874"/>
      <c r="Z844" s="874"/>
      <c r="AA844" s="874"/>
      <c r="AD844" s="526"/>
      <c r="AE844" s="526"/>
      <c r="AF844" s="526"/>
      <c r="AG844" s="526"/>
      <c r="AH844" s="526"/>
      <c r="AI844" s="526"/>
      <c r="AJ844" s="526"/>
      <c r="AK844" s="526"/>
      <c r="AL844" s="526"/>
      <c r="AM844" s="526"/>
      <c r="AN844" s="526"/>
      <c r="AO844" s="526"/>
      <c r="AP844" s="526"/>
      <c r="AQ844" s="526"/>
      <c r="AR844" s="526"/>
      <c r="AS844" s="526"/>
      <c r="AT844" s="526"/>
      <c r="AU844" s="526"/>
      <c r="AV844" s="526"/>
      <c r="AW844" s="526"/>
      <c r="AX844" s="526"/>
      <c r="AY844" s="526"/>
      <c r="AZ844" s="526"/>
      <c r="BA844" s="526"/>
      <c r="BB844" s="526"/>
      <c r="BC844" s="526"/>
      <c r="BD844" s="526"/>
      <c r="BE844" s="526"/>
      <c r="BF844" s="526"/>
      <c r="BG844" s="526"/>
    </row>
    <row r="845" spans="1:59" s="830" customFormat="1" ht="17.25" customHeight="1" x14ac:dyDescent="0.25">
      <c r="A845" s="865"/>
      <c r="B845" s="865"/>
      <c r="C845" s="908"/>
      <c r="G845" s="865"/>
      <c r="H845" s="874"/>
      <c r="I845" s="869"/>
      <c r="J845" s="869"/>
      <c r="K845" s="869"/>
      <c r="L845" s="869"/>
      <c r="M845" s="874"/>
      <c r="O845" s="874"/>
      <c r="P845" s="874"/>
      <c r="Q845" s="874"/>
      <c r="R845" s="874"/>
      <c r="S845" s="874"/>
      <c r="T845" s="874"/>
      <c r="W845" s="874"/>
      <c r="X845" s="874"/>
      <c r="Y845" s="874"/>
      <c r="Z845" s="874"/>
      <c r="AA845" s="874"/>
      <c r="AD845" s="526"/>
      <c r="AE845" s="526"/>
      <c r="AF845" s="526"/>
      <c r="AG845" s="526"/>
      <c r="AH845" s="526"/>
      <c r="AI845" s="526"/>
      <c r="AJ845" s="526"/>
      <c r="AK845" s="526"/>
      <c r="AL845" s="526"/>
      <c r="AM845" s="526"/>
      <c r="AN845" s="526"/>
      <c r="AO845" s="526"/>
      <c r="AP845" s="526"/>
      <c r="AQ845" s="526"/>
      <c r="AR845" s="526"/>
      <c r="AS845" s="526"/>
      <c r="AT845" s="526"/>
      <c r="AU845" s="526"/>
      <c r="AV845" s="526"/>
      <c r="AW845" s="526"/>
      <c r="AX845" s="526"/>
      <c r="AY845" s="526"/>
      <c r="AZ845" s="526"/>
      <c r="BA845" s="526"/>
      <c r="BB845" s="526"/>
      <c r="BC845" s="526"/>
      <c r="BD845" s="526"/>
      <c r="BE845" s="526"/>
      <c r="BF845" s="526"/>
      <c r="BG845" s="526"/>
    </row>
    <row r="846" spans="1:59" s="830" customFormat="1" ht="17.25" customHeight="1" x14ac:dyDescent="0.25">
      <c r="A846" s="865"/>
      <c r="B846" s="865"/>
      <c r="C846" s="908"/>
      <c r="G846" s="865"/>
      <c r="H846" s="874"/>
      <c r="I846" s="869"/>
      <c r="J846" s="869"/>
      <c r="K846" s="869"/>
      <c r="L846" s="869"/>
      <c r="M846" s="874"/>
      <c r="O846" s="874"/>
      <c r="P846" s="874"/>
      <c r="Q846" s="874"/>
      <c r="R846" s="874"/>
      <c r="S846" s="874"/>
      <c r="T846" s="874"/>
      <c r="W846" s="874"/>
      <c r="X846" s="874"/>
      <c r="Y846" s="874"/>
      <c r="Z846" s="874"/>
      <c r="AA846" s="874"/>
      <c r="AD846" s="526"/>
      <c r="AE846" s="526"/>
      <c r="AF846" s="526"/>
      <c r="AG846" s="526"/>
      <c r="AH846" s="526"/>
      <c r="AI846" s="526"/>
      <c r="AJ846" s="526"/>
      <c r="AK846" s="526"/>
      <c r="AL846" s="526"/>
      <c r="AM846" s="526"/>
      <c r="AN846" s="526"/>
      <c r="AO846" s="526"/>
      <c r="AP846" s="526"/>
      <c r="AQ846" s="526"/>
      <c r="AR846" s="526"/>
      <c r="AS846" s="526"/>
      <c r="AT846" s="526"/>
      <c r="AU846" s="526"/>
      <c r="AV846" s="526"/>
      <c r="AW846" s="526"/>
      <c r="AX846" s="526"/>
      <c r="AY846" s="526"/>
      <c r="AZ846" s="526"/>
      <c r="BA846" s="526"/>
      <c r="BB846" s="526"/>
      <c r="BC846" s="526"/>
      <c r="BD846" s="526"/>
      <c r="BE846" s="526"/>
      <c r="BF846" s="526"/>
      <c r="BG846" s="526"/>
    </row>
    <row r="847" spans="1:59" s="830" customFormat="1" ht="17.25" customHeight="1" x14ac:dyDescent="0.25">
      <c r="A847" s="865"/>
      <c r="B847" s="865"/>
      <c r="C847" s="908"/>
      <c r="G847" s="865"/>
      <c r="H847" s="874"/>
      <c r="I847" s="869"/>
      <c r="J847" s="869"/>
      <c r="K847" s="869"/>
      <c r="L847" s="869"/>
      <c r="M847" s="874"/>
      <c r="O847" s="874"/>
      <c r="P847" s="874"/>
      <c r="Q847" s="874"/>
      <c r="R847" s="874"/>
      <c r="S847" s="874"/>
      <c r="T847" s="874"/>
      <c r="W847" s="874"/>
      <c r="X847" s="874"/>
      <c r="Y847" s="874"/>
      <c r="Z847" s="874"/>
      <c r="AA847" s="874"/>
      <c r="AD847" s="526"/>
      <c r="AE847" s="526"/>
      <c r="AF847" s="526"/>
      <c r="AG847" s="526"/>
      <c r="AH847" s="526"/>
      <c r="AI847" s="526"/>
      <c r="AJ847" s="526"/>
      <c r="AK847" s="526"/>
      <c r="AL847" s="526"/>
      <c r="AM847" s="526"/>
      <c r="AN847" s="526"/>
      <c r="AO847" s="526"/>
      <c r="AP847" s="526"/>
      <c r="AQ847" s="526"/>
      <c r="AR847" s="526"/>
      <c r="AS847" s="526"/>
      <c r="AT847" s="526"/>
      <c r="AU847" s="526"/>
      <c r="AV847" s="526"/>
      <c r="AW847" s="526"/>
      <c r="AX847" s="526"/>
      <c r="AY847" s="526"/>
      <c r="AZ847" s="526"/>
      <c r="BA847" s="526"/>
      <c r="BB847" s="526"/>
      <c r="BC847" s="526"/>
      <c r="BD847" s="526"/>
      <c r="BE847" s="526"/>
      <c r="BF847" s="526"/>
      <c r="BG847" s="526"/>
    </row>
    <row r="848" spans="1:59" s="830" customFormat="1" ht="17.25" customHeight="1" x14ac:dyDescent="0.25">
      <c r="A848" s="865"/>
      <c r="B848" s="865"/>
      <c r="C848" s="908"/>
      <c r="G848" s="865"/>
      <c r="H848" s="874"/>
      <c r="I848" s="869"/>
      <c r="J848" s="869"/>
      <c r="K848" s="869"/>
      <c r="L848" s="869"/>
      <c r="M848" s="874"/>
      <c r="O848" s="874"/>
      <c r="P848" s="874"/>
      <c r="Q848" s="874"/>
      <c r="R848" s="874"/>
      <c r="S848" s="874"/>
      <c r="T848" s="874"/>
      <c r="W848" s="874"/>
      <c r="X848" s="874"/>
      <c r="Y848" s="874"/>
      <c r="Z848" s="874"/>
      <c r="AA848" s="874"/>
      <c r="AD848" s="526"/>
      <c r="AE848" s="526"/>
      <c r="AF848" s="526"/>
      <c r="AG848" s="526"/>
      <c r="AH848" s="526"/>
      <c r="AI848" s="526"/>
      <c r="AJ848" s="526"/>
      <c r="AK848" s="526"/>
      <c r="AL848" s="526"/>
      <c r="AM848" s="526"/>
      <c r="AN848" s="526"/>
      <c r="AO848" s="526"/>
      <c r="AP848" s="526"/>
      <c r="AQ848" s="526"/>
      <c r="AR848" s="526"/>
      <c r="AS848" s="526"/>
      <c r="AT848" s="526"/>
      <c r="AU848" s="526"/>
      <c r="AV848" s="526"/>
      <c r="AW848" s="526"/>
      <c r="AX848" s="526"/>
      <c r="AY848" s="526"/>
      <c r="AZ848" s="526"/>
      <c r="BA848" s="526"/>
      <c r="BB848" s="526"/>
      <c r="BC848" s="526"/>
      <c r="BD848" s="526"/>
      <c r="BE848" s="526"/>
      <c r="BF848" s="526"/>
      <c r="BG848" s="526"/>
    </row>
    <row r="849" spans="1:59" s="830" customFormat="1" ht="17.25" customHeight="1" x14ac:dyDescent="0.25">
      <c r="A849" s="865"/>
      <c r="B849" s="865"/>
      <c r="C849" s="908"/>
      <c r="G849" s="865"/>
      <c r="H849" s="874"/>
      <c r="I849" s="869"/>
      <c r="J849" s="869"/>
      <c r="K849" s="869"/>
      <c r="L849" s="869"/>
      <c r="M849" s="874"/>
      <c r="O849" s="874"/>
      <c r="P849" s="874"/>
      <c r="Q849" s="874"/>
      <c r="R849" s="874"/>
      <c r="S849" s="874"/>
      <c r="T849" s="874"/>
      <c r="W849" s="874"/>
      <c r="X849" s="874"/>
      <c r="Y849" s="874"/>
      <c r="Z849" s="874"/>
      <c r="AA849" s="874"/>
      <c r="AD849" s="526"/>
      <c r="AE849" s="526"/>
      <c r="AF849" s="526"/>
      <c r="AG849" s="526"/>
      <c r="AH849" s="526"/>
      <c r="AI849" s="526"/>
      <c r="AJ849" s="526"/>
      <c r="AK849" s="526"/>
      <c r="AL849" s="526"/>
      <c r="AM849" s="526"/>
      <c r="AN849" s="526"/>
      <c r="AO849" s="526"/>
      <c r="AP849" s="526"/>
      <c r="AQ849" s="526"/>
      <c r="AR849" s="526"/>
      <c r="AS849" s="526"/>
      <c r="AT849" s="526"/>
      <c r="AU849" s="526"/>
      <c r="AV849" s="526"/>
      <c r="AW849" s="526"/>
      <c r="AX849" s="526"/>
      <c r="AY849" s="526"/>
      <c r="AZ849" s="526"/>
      <c r="BA849" s="526"/>
      <c r="BB849" s="526"/>
      <c r="BC849" s="526"/>
      <c r="BD849" s="526"/>
      <c r="BE849" s="526"/>
      <c r="BF849" s="526"/>
      <c r="BG849" s="526"/>
    </row>
    <row r="850" spans="1:59" s="830" customFormat="1" ht="17.25" customHeight="1" x14ac:dyDescent="0.25">
      <c r="A850" s="865"/>
      <c r="B850" s="865"/>
      <c r="C850" s="908"/>
      <c r="G850" s="865"/>
      <c r="H850" s="874"/>
      <c r="I850" s="869"/>
      <c r="J850" s="869"/>
      <c r="K850" s="869"/>
      <c r="L850" s="869"/>
      <c r="M850" s="874"/>
      <c r="O850" s="874"/>
      <c r="P850" s="874"/>
      <c r="Q850" s="874"/>
      <c r="R850" s="874"/>
      <c r="S850" s="874"/>
      <c r="T850" s="874"/>
      <c r="W850" s="874"/>
      <c r="X850" s="874"/>
      <c r="Y850" s="874"/>
      <c r="Z850" s="874"/>
      <c r="AA850" s="874"/>
      <c r="AD850" s="526"/>
      <c r="AE850" s="526"/>
      <c r="AF850" s="526"/>
      <c r="AG850" s="526"/>
      <c r="AH850" s="526"/>
      <c r="AI850" s="526"/>
      <c r="AJ850" s="526"/>
      <c r="AK850" s="526"/>
      <c r="AL850" s="526"/>
      <c r="AM850" s="526"/>
      <c r="AN850" s="526"/>
      <c r="AO850" s="526"/>
      <c r="AP850" s="526"/>
      <c r="AQ850" s="526"/>
      <c r="AR850" s="526"/>
      <c r="AS850" s="526"/>
      <c r="AT850" s="526"/>
      <c r="AU850" s="526"/>
      <c r="AV850" s="526"/>
      <c r="AW850" s="526"/>
      <c r="AX850" s="526"/>
      <c r="AY850" s="526"/>
      <c r="AZ850" s="526"/>
      <c r="BA850" s="526"/>
      <c r="BB850" s="526"/>
      <c r="BC850" s="526"/>
      <c r="BD850" s="526"/>
      <c r="BE850" s="526"/>
      <c r="BF850" s="526"/>
      <c r="BG850" s="526"/>
    </row>
    <row r="851" spans="1:59" s="830" customFormat="1" ht="17.25" customHeight="1" x14ac:dyDescent="0.25">
      <c r="A851" s="865"/>
      <c r="B851" s="865"/>
      <c r="C851" s="908"/>
      <c r="G851" s="865"/>
      <c r="H851" s="874"/>
      <c r="I851" s="869"/>
      <c r="J851" s="869"/>
      <c r="K851" s="869"/>
      <c r="L851" s="869"/>
      <c r="M851" s="874"/>
      <c r="O851" s="874"/>
      <c r="P851" s="874"/>
      <c r="Q851" s="874"/>
      <c r="R851" s="874"/>
      <c r="S851" s="874"/>
      <c r="T851" s="874"/>
      <c r="W851" s="874"/>
      <c r="X851" s="874"/>
      <c r="Y851" s="874"/>
      <c r="Z851" s="874"/>
      <c r="AA851" s="874"/>
      <c r="AD851" s="526"/>
      <c r="AE851" s="526"/>
      <c r="AF851" s="526"/>
      <c r="AG851" s="526"/>
      <c r="AH851" s="526"/>
      <c r="AI851" s="526"/>
      <c r="AJ851" s="526"/>
      <c r="AK851" s="526"/>
      <c r="AL851" s="526"/>
      <c r="AM851" s="526"/>
      <c r="AN851" s="526"/>
      <c r="AO851" s="526"/>
      <c r="AP851" s="526"/>
      <c r="AQ851" s="526"/>
      <c r="AR851" s="526"/>
      <c r="AS851" s="526"/>
      <c r="AT851" s="526"/>
      <c r="AU851" s="526"/>
      <c r="AV851" s="526"/>
      <c r="AW851" s="526"/>
      <c r="AX851" s="526"/>
      <c r="AY851" s="526"/>
      <c r="AZ851" s="526"/>
      <c r="BA851" s="526"/>
      <c r="BB851" s="526"/>
      <c r="BC851" s="526"/>
      <c r="BD851" s="526"/>
      <c r="BE851" s="526"/>
      <c r="BF851" s="526"/>
      <c r="BG851" s="526"/>
    </row>
    <row r="852" spans="1:59" s="830" customFormat="1" ht="17.25" customHeight="1" x14ac:dyDescent="0.25">
      <c r="A852" s="865"/>
      <c r="B852" s="865"/>
      <c r="C852" s="908"/>
      <c r="G852" s="865"/>
      <c r="H852" s="874"/>
      <c r="I852" s="869"/>
      <c r="J852" s="869"/>
      <c r="K852" s="869"/>
      <c r="L852" s="869"/>
      <c r="M852" s="874"/>
      <c r="O852" s="874"/>
      <c r="P852" s="874"/>
      <c r="Q852" s="874"/>
      <c r="R852" s="874"/>
      <c r="S852" s="874"/>
      <c r="T852" s="874"/>
      <c r="W852" s="874"/>
      <c r="X852" s="874"/>
      <c r="Y852" s="874"/>
      <c r="Z852" s="874"/>
      <c r="AA852" s="874"/>
      <c r="AD852" s="526"/>
      <c r="AE852" s="526"/>
      <c r="AF852" s="526"/>
      <c r="AG852" s="526"/>
      <c r="AH852" s="526"/>
      <c r="AI852" s="526"/>
      <c r="AJ852" s="526"/>
      <c r="AK852" s="526"/>
      <c r="AL852" s="526"/>
      <c r="AM852" s="526"/>
      <c r="AN852" s="526"/>
      <c r="AO852" s="526"/>
      <c r="AP852" s="526"/>
      <c r="AQ852" s="526"/>
      <c r="AR852" s="526"/>
      <c r="AS852" s="526"/>
      <c r="AT852" s="526"/>
      <c r="AU852" s="526"/>
      <c r="AV852" s="526"/>
      <c r="AW852" s="526"/>
      <c r="AX852" s="526"/>
      <c r="AY852" s="526"/>
      <c r="AZ852" s="526"/>
      <c r="BA852" s="526"/>
      <c r="BB852" s="526"/>
      <c r="BC852" s="526"/>
      <c r="BD852" s="526"/>
      <c r="BE852" s="526"/>
      <c r="BF852" s="526"/>
      <c r="BG852" s="526"/>
    </row>
    <row r="853" spans="1:59" s="830" customFormat="1" ht="17.25" customHeight="1" x14ac:dyDescent="0.25">
      <c r="A853" s="865"/>
      <c r="B853" s="865"/>
      <c r="C853" s="908"/>
      <c r="G853" s="865"/>
      <c r="H853" s="874"/>
      <c r="I853" s="869"/>
      <c r="J853" s="869"/>
      <c r="K853" s="869"/>
      <c r="L853" s="869"/>
      <c r="M853" s="874"/>
      <c r="O853" s="874"/>
      <c r="P853" s="874"/>
      <c r="Q853" s="874"/>
      <c r="R853" s="874"/>
      <c r="S853" s="874"/>
      <c r="T853" s="874"/>
      <c r="W853" s="874"/>
      <c r="X853" s="874"/>
      <c r="Y853" s="874"/>
      <c r="Z853" s="874"/>
      <c r="AA853" s="874"/>
      <c r="AD853" s="526"/>
      <c r="AE853" s="526"/>
      <c r="AF853" s="526"/>
      <c r="AG853" s="526"/>
      <c r="AH853" s="526"/>
      <c r="AI853" s="526"/>
      <c r="AJ853" s="526"/>
      <c r="AK853" s="526"/>
      <c r="AL853" s="526"/>
      <c r="AM853" s="526"/>
      <c r="AN853" s="526"/>
      <c r="AO853" s="526"/>
      <c r="AP853" s="526"/>
      <c r="AQ853" s="526"/>
      <c r="AR853" s="526"/>
      <c r="AS853" s="526"/>
      <c r="AT853" s="526"/>
      <c r="AU853" s="526"/>
      <c r="AV853" s="526"/>
      <c r="AW853" s="526"/>
      <c r="AX853" s="526"/>
      <c r="AY853" s="526"/>
      <c r="AZ853" s="526"/>
      <c r="BA853" s="526"/>
      <c r="BB853" s="526"/>
      <c r="BC853" s="526"/>
      <c r="BD853" s="526"/>
      <c r="BE853" s="526"/>
      <c r="BF853" s="526"/>
      <c r="BG853" s="526"/>
    </row>
    <row r="854" spans="1:59" s="830" customFormat="1" ht="17.25" customHeight="1" x14ac:dyDescent="0.25">
      <c r="A854" s="865"/>
      <c r="B854" s="865"/>
      <c r="C854" s="908"/>
      <c r="G854" s="865"/>
      <c r="H854" s="874"/>
      <c r="I854" s="869"/>
      <c r="J854" s="869"/>
      <c r="K854" s="869"/>
      <c r="L854" s="869"/>
      <c r="M854" s="874"/>
      <c r="O854" s="874"/>
      <c r="P854" s="874"/>
      <c r="Q854" s="874"/>
      <c r="R854" s="874"/>
      <c r="S854" s="874"/>
      <c r="T854" s="874"/>
      <c r="W854" s="874"/>
      <c r="X854" s="874"/>
      <c r="Y854" s="874"/>
      <c r="Z854" s="874"/>
      <c r="AA854" s="874"/>
      <c r="AD854" s="526"/>
      <c r="AE854" s="526"/>
      <c r="AF854" s="526"/>
      <c r="AG854" s="526"/>
      <c r="AH854" s="526"/>
      <c r="AI854" s="526"/>
      <c r="AJ854" s="526"/>
      <c r="AK854" s="526"/>
      <c r="AL854" s="526"/>
      <c r="AM854" s="526"/>
      <c r="AN854" s="526"/>
      <c r="AO854" s="526"/>
      <c r="AP854" s="526"/>
      <c r="AQ854" s="526"/>
      <c r="AR854" s="526"/>
      <c r="AS854" s="526"/>
      <c r="AT854" s="526"/>
      <c r="AU854" s="526"/>
      <c r="AV854" s="526"/>
      <c r="AW854" s="526"/>
      <c r="AX854" s="526"/>
      <c r="AY854" s="526"/>
      <c r="AZ854" s="526"/>
      <c r="BA854" s="526"/>
      <c r="BB854" s="526"/>
      <c r="BC854" s="526"/>
      <c r="BD854" s="526"/>
      <c r="BE854" s="526"/>
      <c r="BF854" s="526"/>
      <c r="BG854" s="526"/>
    </row>
    <row r="855" spans="1:59" s="830" customFormat="1" ht="17.25" customHeight="1" x14ac:dyDescent="0.25">
      <c r="A855" s="865"/>
      <c r="B855" s="865"/>
      <c r="C855" s="908"/>
      <c r="G855" s="865"/>
      <c r="H855" s="874"/>
      <c r="I855" s="869"/>
      <c r="J855" s="869"/>
      <c r="K855" s="869"/>
      <c r="L855" s="869"/>
      <c r="M855" s="874"/>
      <c r="O855" s="874"/>
      <c r="P855" s="874"/>
      <c r="Q855" s="874"/>
      <c r="R855" s="874"/>
      <c r="S855" s="874"/>
      <c r="T855" s="874"/>
      <c r="W855" s="874"/>
      <c r="X855" s="874"/>
      <c r="Y855" s="874"/>
      <c r="Z855" s="874"/>
      <c r="AA855" s="874"/>
      <c r="AD855" s="526"/>
      <c r="AE855" s="526"/>
      <c r="AF855" s="526"/>
      <c r="AG855" s="526"/>
      <c r="AH855" s="526"/>
      <c r="AI855" s="526"/>
      <c r="AJ855" s="526"/>
      <c r="AK855" s="526"/>
      <c r="AL855" s="526"/>
      <c r="AM855" s="526"/>
      <c r="AN855" s="526"/>
      <c r="AO855" s="526"/>
      <c r="AP855" s="526"/>
      <c r="AQ855" s="526"/>
      <c r="AR855" s="526"/>
      <c r="AS855" s="526"/>
      <c r="AT855" s="526"/>
      <c r="AU855" s="526"/>
      <c r="AV855" s="526"/>
      <c r="AW855" s="526"/>
      <c r="AX855" s="526"/>
      <c r="AY855" s="526"/>
      <c r="AZ855" s="526"/>
      <c r="BA855" s="526"/>
      <c r="BB855" s="526"/>
      <c r="BC855" s="526"/>
      <c r="BD855" s="526"/>
      <c r="BE855" s="526"/>
      <c r="BF855" s="526"/>
      <c r="BG855" s="526"/>
    </row>
    <row r="856" spans="1:59" s="830" customFormat="1" ht="17.25" customHeight="1" x14ac:dyDescent="0.25">
      <c r="A856" s="865"/>
      <c r="B856" s="865"/>
      <c r="C856" s="908"/>
      <c r="G856" s="865"/>
      <c r="H856" s="874"/>
      <c r="I856" s="869"/>
      <c r="J856" s="869"/>
      <c r="K856" s="869"/>
      <c r="L856" s="869"/>
      <c r="M856" s="874"/>
      <c r="O856" s="874"/>
      <c r="P856" s="874"/>
      <c r="Q856" s="874"/>
      <c r="R856" s="874"/>
      <c r="S856" s="874"/>
      <c r="T856" s="874"/>
      <c r="W856" s="874"/>
      <c r="X856" s="874"/>
      <c r="Y856" s="874"/>
      <c r="Z856" s="874"/>
      <c r="AA856" s="874"/>
      <c r="AD856" s="526"/>
      <c r="AE856" s="526"/>
      <c r="AF856" s="526"/>
      <c r="AG856" s="526"/>
      <c r="AH856" s="526"/>
      <c r="AI856" s="526"/>
      <c r="AJ856" s="526"/>
      <c r="AK856" s="526"/>
      <c r="AL856" s="526"/>
      <c r="AM856" s="526"/>
      <c r="AN856" s="526"/>
      <c r="AO856" s="526"/>
      <c r="AP856" s="526"/>
      <c r="AQ856" s="526"/>
      <c r="AR856" s="526"/>
      <c r="AS856" s="526"/>
      <c r="AT856" s="526"/>
      <c r="AU856" s="526"/>
      <c r="AV856" s="526"/>
      <c r="AW856" s="526"/>
      <c r="AX856" s="526"/>
      <c r="AY856" s="526"/>
      <c r="AZ856" s="526"/>
      <c r="BA856" s="526"/>
      <c r="BB856" s="526"/>
      <c r="BC856" s="526"/>
      <c r="BD856" s="526"/>
      <c r="BE856" s="526"/>
      <c r="BF856" s="526"/>
      <c r="BG856" s="526"/>
    </row>
    <row r="857" spans="1:59" s="830" customFormat="1" ht="17.25" customHeight="1" x14ac:dyDescent="0.25">
      <c r="A857" s="865"/>
      <c r="B857" s="865"/>
      <c r="C857" s="908"/>
      <c r="G857" s="865"/>
      <c r="H857" s="874"/>
      <c r="I857" s="869"/>
      <c r="J857" s="869"/>
      <c r="K857" s="869"/>
      <c r="L857" s="869"/>
      <c r="M857" s="874"/>
      <c r="O857" s="874"/>
      <c r="P857" s="874"/>
      <c r="Q857" s="874"/>
      <c r="R857" s="874"/>
      <c r="S857" s="874"/>
      <c r="T857" s="874"/>
      <c r="W857" s="874"/>
      <c r="X857" s="874"/>
      <c r="Y857" s="874"/>
      <c r="Z857" s="874"/>
      <c r="AA857" s="874"/>
      <c r="AD857" s="526"/>
      <c r="AE857" s="526"/>
      <c r="AF857" s="526"/>
      <c r="AG857" s="526"/>
      <c r="AH857" s="526"/>
      <c r="AI857" s="526"/>
      <c r="AJ857" s="526"/>
      <c r="AK857" s="526"/>
      <c r="AL857" s="526"/>
      <c r="AM857" s="526"/>
      <c r="AN857" s="526"/>
      <c r="AO857" s="526"/>
      <c r="AP857" s="526"/>
      <c r="AQ857" s="526"/>
      <c r="AR857" s="526"/>
      <c r="AS857" s="526"/>
      <c r="AT857" s="526"/>
      <c r="AU857" s="526"/>
      <c r="AV857" s="526"/>
      <c r="AW857" s="526"/>
      <c r="AX857" s="526"/>
      <c r="AY857" s="526"/>
      <c r="AZ857" s="526"/>
      <c r="BA857" s="526"/>
      <c r="BB857" s="526"/>
      <c r="BC857" s="526"/>
      <c r="BD857" s="526"/>
      <c r="BE857" s="526"/>
      <c r="BF857" s="526"/>
      <c r="BG857" s="526"/>
    </row>
    <row r="858" spans="1:59" s="830" customFormat="1" ht="17.25" customHeight="1" x14ac:dyDescent="0.25">
      <c r="A858" s="865"/>
      <c r="B858" s="865"/>
      <c r="C858" s="908"/>
      <c r="G858" s="865"/>
      <c r="H858" s="874"/>
      <c r="I858" s="869"/>
      <c r="J858" s="869"/>
      <c r="K858" s="869"/>
      <c r="L858" s="869"/>
      <c r="M858" s="874"/>
      <c r="O858" s="874"/>
      <c r="P858" s="874"/>
      <c r="Q858" s="874"/>
      <c r="R858" s="874"/>
      <c r="S858" s="874"/>
      <c r="T858" s="874"/>
      <c r="W858" s="874"/>
      <c r="X858" s="874"/>
      <c r="Y858" s="874"/>
      <c r="Z858" s="874"/>
      <c r="AA858" s="874"/>
      <c r="AD858" s="526"/>
      <c r="AE858" s="526"/>
      <c r="AF858" s="526"/>
      <c r="AG858" s="526"/>
      <c r="AH858" s="526"/>
      <c r="AI858" s="526"/>
      <c r="AJ858" s="526"/>
      <c r="AK858" s="526"/>
      <c r="AL858" s="526"/>
      <c r="AM858" s="526"/>
      <c r="AN858" s="526"/>
      <c r="AO858" s="526"/>
      <c r="AP858" s="526"/>
      <c r="AQ858" s="526"/>
      <c r="AR858" s="526"/>
      <c r="AS858" s="526"/>
      <c r="AT858" s="526"/>
      <c r="AU858" s="526"/>
      <c r="AV858" s="526"/>
      <c r="AW858" s="526"/>
      <c r="AX858" s="526"/>
      <c r="AY858" s="526"/>
      <c r="AZ858" s="526"/>
      <c r="BA858" s="526"/>
      <c r="BB858" s="526"/>
      <c r="BC858" s="526"/>
      <c r="BD858" s="526"/>
      <c r="BE858" s="526"/>
      <c r="BF858" s="526"/>
      <c r="BG858" s="526"/>
    </row>
    <row r="859" spans="1:59" s="830" customFormat="1" ht="17.25" customHeight="1" x14ac:dyDescent="0.25">
      <c r="A859" s="865"/>
      <c r="B859" s="865"/>
      <c r="C859" s="908"/>
      <c r="G859" s="865"/>
      <c r="H859" s="874"/>
      <c r="I859" s="869"/>
      <c r="J859" s="869"/>
      <c r="K859" s="869"/>
      <c r="L859" s="869"/>
      <c r="M859" s="874"/>
      <c r="O859" s="874"/>
      <c r="P859" s="874"/>
      <c r="Q859" s="874"/>
      <c r="R859" s="874"/>
      <c r="S859" s="874"/>
      <c r="T859" s="874"/>
      <c r="W859" s="874"/>
      <c r="X859" s="874"/>
      <c r="Y859" s="874"/>
      <c r="Z859" s="874"/>
      <c r="AA859" s="874"/>
      <c r="AD859" s="526"/>
      <c r="AE859" s="526"/>
      <c r="AF859" s="526"/>
      <c r="AG859" s="526"/>
      <c r="AH859" s="526"/>
      <c r="AI859" s="526"/>
      <c r="AJ859" s="526"/>
      <c r="AK859" s="526"/>
      <c r="AL859" s="526"/>
      <c r="AM859" s="526"/>
      <c r="AN859" s="526"/>
      <c r="AO859" s="526"/>
      <c r="AP859" s="526"/>
      <c r="AQ859" s="526"/>
      <c r="AR859" s="526"/>
      <c r="AS859" s="526"/>
      <c r="AT859" s="526"/>
      <c r="AU859" s="526"/>
      <c r="AV859" s="526"/>
      <c r="AW859" s="526"/>
      <c r="AX859" s="526"/>
      <c r="AY859" s="526"/>
      <c r="AZ859" s="526"/>
      <c r="BA859" s="526"/>
      <c r="BB859" s="526"/>
      <c r="BC859" s="526"/>
      <c r="BD859" s="526"/>
      <c r="BE859" s="526"/>
      <c r="BF859" s="526"/>
      <c r="BG859" s="526"/>
    </row>
    <row r="860" spans="1:59" s="830" customFormat="1" ht="17.25" customHeight="1" x14ac:dyDescent="0.25">
      <c r="A860" s="865"/>
      <c r="B860" s="865"/>
      <c r="C860" s="908"/>
      <c r="G860" s="865"/>
      <c r="H860" s="874"/>
      <c r="I860" s="869"/>
      <c r="J860" s="869"/>
      <c r="K860" s="869"/>
      <c r="L860" s="869"/>
      <c r="M860" s="874"/>
      <c r="O860" s="874"/>
      <c r="P860" s="874"/>
      <c r="Q860" s="874"/>
      <c r="R860" s="874"/>
      <c r="S860" s="874"/>
      <c r="T860" s="874"/>
      <c r="W860" s="874"/>
      <c r="X860" s="874"/>
      <c r="Y860" s="874"/>
      <c r="Z860" s="874"/>
      <c r="AA860" s="874"/>
      <c r="AD860" s="526"/>
      <c r="AE860" s="526"/>
      <c r="AF860" s="526"/>
      <c r="AG860" s="526"/>
      <c r="AH860" s="526"/>
      <c r="AI860" s="526"/>
      <c r="AJ860" s="526"/>
      <c r="AK860" s="526"/>
      <c r="AL860" s="526"/>
      <c r="AM860" s="526"/>
      <c r="AN860" s="526"/>
      <c r="AO860" s="526"/>
      <c r="AP860" s="526"/>
      <c r="AQ860" s="526"/>
      <c r="AR860" s="526"/>
      <c r="AS860" s="526"/>
      <c r="AT860" s="526"/>
      <c r="AU860" s="526"/>
      <c r="AV860" s="526"/>
      <c r="AW860" s="526"/>
      <c r="AX860" s="526"/>
      <c r="AY860" s="526"/>
      <c r="AZ860" s="526"/>
      <c r="BA860" s="526"/>
      <c r="BB860" s="526"/>
      <c r="BC860" s="526"/>
      <c r="BD860" s="526"/>
      <c r="BE860" s="526"/>
      <c r="BF860" s="526"/>
      <c r="BG860" s="526"/>
    </row>
    <row r="861" spans="1:59" s="830" customFormat="1" ht="17.25" customHeight="1" x14ac:dyDescent="0.25">
      <c r="A861" s="865"/>
      <c r="B861" s="865"/>
      <c r="C861" s="908"/>
      <c r="G861" s="865"/>
      <c r="H861" s="874"/>
      <c r="I861" s="869"/>
      <c r="J861" s="869"/>
      <c r="K861" s="869"/>
      <c r="L861" s="869"/>
      <c r="M861" s="874"/>
      <c r="O861" s="874"/>
      <c r="P861" s="874"/>
      <c r="Q861" s="874"/>
      <c r="R861" s="874"/>
      <c r="S861" s="874"/>
      <c r="T861" s="874"/>
      <c r="W861" s="874"/>
      <c r="X861" s="874"/>
      <c r="Y861" s="874"/>
      <c r="Z861" s="874"/>
      <c r="AA861" s="874"/>
      <c r="AD861" s="526"/>
      <c r="AE861" s="526"/>
      <c r="AF861" s="526"/>
      <c r="AG861" s="526"/>
      <c r="AH861" s="526"/>
      <c r="AI861" s="526"/>
      <c r="AJ861" s="526"/>
      <c r="AK861" s="526"/>
      <c r="AL861" s="526"/>
      <c r="AM861" s="526"/>
      <c r="AN861" s="526"/>
      <c r="AO861" s="526"/>
      <c r="AP861" s="526"/>
      <c r="AQ861" s="526"/>
      <c r="AR861" s="526"/>
      <c r="AS861" s="526"/>
      <c r="AT861" s="526"/>
      <c r="AU861" s="526"/>
      <c r="AV861" s="526"/>
      <c r="AW861" s="526"/>
      <c r="AX861" s="526"/>
      <c r="AY861" s="526"/>
      <c r="AZ861" s="526"/>
      <c r="BA861" s="526"/>
      <c r="BB861" s="526"/>
      <c r="BC861" s="526"/>
      <c r="BD861" s="526"/>
      <c r="BE861" s="526"/>
      <c r="BF861" s="526"/>
      <c r="BG861" s="526"/>
    </row>
    <row r="862" spans="1:59" s="830" customFormat="1" ht="17.25" customHeight="1" x14ac:dyDescent="0.25">
      <c r="A862" s="865"/>
      <c r="B862" s="865"/>
      <c r="C862" s="908"/>
      <c r="G862" s="865"/>
      <c r="H862" s="874"/>
      <c r="I862" s="869"/>
      <c r="J862" s="869"/>
      <c r="K862" s="869"/>
      <c r="L862" s="869"/>
      <c r="M862" s="874"/>
      <c r="O862" s="874"/>
      <c r="P862" s="874"/>
      <c r="Q862" s="874"/>
      <c r="R862" s="874"/>
      <c r="S862" s="874"/>
      <c r="T862" s="874"/>
      <c r="W862" s="874"/>
      <c r="X862" s="874"/>
      <c r="Y862" s="874"/>
      <c r="Z862" s="874"/>
      <c r="AA862" s="874"/>
      <c r="AD862" s="526"/>
      <c r="AE862" s="526"/>
      <c r="AF862" s="526"/>
      <c r="AG862" s="526"/>
      <c r="AH862" s="526"/>
      <c r="AI862" s="526"/>
      <c r="AJ862" s="526"/>
      <c r="AK862" s="526"/>
      <c r="AL862" s="526"/>
      <c r="AM862" s="526"/>
      <c r="AN862" s="526"/>
      <c r="AO862" s="526"/>
      <c r="AP862" s="526"/>
      <c r="AQ862" s="526"/>
      <c r="AR862" s="526"/>
      <c r="AS862" s="526"/>
      <c r="AT862" s="526"/>
      <c r="AU862" s="526"/>
      <c r="AV862" s="526"/>
      <c r="AW862" s="526"/>
      <c r="AX862" s="526"/>
      <c r="AY862" s="526"/>
      <c r="AZ862" s="526"/>
      <c r="BA862" s="526"/>
      <c r="BB862" s="526"/>
      <c r="BC862" s="526"/>
      <c r="BD862" s="526"/>
      <c r="BE862" s="526"/>
      <c r="BF862" s="526"/>
      <c r="BG862" s="526"/>
    </row>
    <row r="863" spans="1:59" s="830" customFormat="1" ht="17.25" customHeight="1" x14ac:dyDescent="0.25">
      <c r="A863" s="865"/>
      <c r="B863" s="865"/>
      <c r="C863" s="908"/>
      <c r="G863" s="865"/>
      <c r="H863" s="874"/>
      <c r="I863" s="869"/>
      <c r="J863" s="869"/>
      <c r="K863" s="869"/>
      <c r="L863" s="869"/>
      <c r="M863" s="874"/>
      <c r="O863" s="874"/>
      <c r="P863" s="874"/>
      <c r="Q863" s="874"/>
      <c r="R863" s="874"/>
      <c r="S863" s="874"/>
      <c r="T863" s="874"/>
      <c r="W863" s="874"/>
      <c r="X863" s="874"/>
      <c r="Y863" s="874"/>
      <c r="Z863" s="874"/>
      <c r="AA863" s="874"/>
      <c r="AD863" s="526"/>
      <c r="AE863" s="526"/>
      <c r="AF863" s="526"/>
      <c r="AG863" s="526"/>
      <c r="AH863" s="526"/>
      <c r="AI863" s="526"/>
      <c r="AJ863" s="526"/>
      <c r="AK863" s="526"/>
      <c r="AL863" s="526"/>
      <c r="AM863" s="526"/>
      <c r="AN863" s="526"/>
      <c r="AO863" s="526"/>
      <c r="AP863" s="526"/>
      <c r="AQ863" s="526"/>
      <c r="AR863" s="526"/>
      <c r="AS863" s="526"/>
      <c r="AT863" s="526"/>
      <c r="AU863" s="526"/>
      <c r="AV863" s="526"/>
      <c r="AW863" s="526"/>
      <c r="AX863" s="526"/>
      <c r="AY863" s="526"/>
      <c r="AZ863" s="526"/>
      <c r="BA863" s="526"/>
      <c r="BB863" s="526"/>
      <c r="BC863" s="526"/>
      <c r="BD863" s="526"/>
      <c r="BE863" s="526"/>
      <c r="BF863" s="526"/>
      <c r="BG863" s="526"/>
    </row>
    <row r="864" spans="1:59" s="830" customFormat="1" ht="17.25" customHeight="1" x14ac:dyDescent="0.25">
      <c r="A864" s="865"/>
      <c r="B864" s="865"/>
      <c r="C864" s="908"/>
      <c r="G864" s="865"/>
      <c r="H864" s="874"/>
      <c r="I864" s="869"/>
      <c r="J864" s="869"/>
      <c r="K864" s="869"/>
      <c r="L864" s="869"/>
      <c r="M864" s="874"/>
      <c r="O864" s="874"/>
      <c r="P864" s="874"/>
      <c r="Q864" s="874"/>
      <c r="R864" s="874"/>
      <c r="S864" s="874"/>
      <c r="T864" s="874"/>
      <c r="W864" s="874"/>
      <c r="X864" s="874"/>
      <c r="Y864" s="874"/>
      <c r="Z864" s="874"/>
      <c r="AA864" s="874"/>
      <c r="AD864" s="526"/>
      <c r="AE864" s="526"/>
      <c r="AF864" s="526"/>
      <c r="AG864" s="526"/>
      <c r="AH864" s="526"/>
      <c r="AI864" s="526"/>
      <c r="AJ864" s="526"/>
      <c r="AK864" s="526"/>
      <c r="AL864" s="526"/>
      <c r="AM864" s="526"/>
      <c r="AN864" s="526"/>
      <c r="AO864" s="526"/>
      <c r="AP864" s="526"/>
      <c r="AQ864" s="526"/>
      <c r="AR864" s="526"/>
      <c r="AS864" s="526"/>
      <c r="AT864" s="526"/>
      <c r="AU864" s="526"/>
      <c r="AV864" s="526"/>
      <c r="AW864" s="526"/>
      <c r="AX864" s="526"/>
      <c r="AY864" s="526"/>
      <c r="AZ864" s="526"/>
      <c r="BA864" s="526"/>
      <c r="BB864" s="526"/>
      <c r="BC864" s="526"/>
      <c r="BD864" s="526"/>
      <c r="BE864" s="526"/>
      <c r="BF864" s="526"/>
      <c r="BG864" s="526"/>
    </row>
    <row r="865" spans="1:59" s="830" customFormat="1" ht="17.25" customHeight="1" x14ac:dyDescent="0.25">
      <c r="A865" s="865"/>
      <c r="B865" s="865"/>
      <c r="C865" s="908"/>
      <c r="G865" s="865"/>
      <c r="H865" s="874"/>
      <c r="I865" s="869"/>
      <c r="J865" s="869"/>
      <c r="K865" s="869"/>
      <c r="L865" s="869"/>
      <c r="M865" s="874"/>
      <c r="O865" s="874"/>
      <c r="P865" s="874"/>
      <c r="Q865" s="874"/>
      <c r="R865" s="874"/>
      <c r="S865" s="874"/>
      <c r="T865" s="874"/>
      <c r="W865" s="874"/>
      <c r="X865" s="874"/>
      <c r="Y865" s="874"/>
      <c r="Z865" s="874"/>
      <c r="AA865" s="874"/>
      <c r="AD865" s="526"/>
      <c r="AE865" s="526"/>
      <c r="AF865" s="526"/>
      <c r="AG865" s="526"/>
      <c r="AH865" s="526"/>
      <c r="AI865" s="526"/>
      <c r="AJ865" s="526"/>
      <c r="AK865" s="526"/>
      <c r="AL865" s="526"/>
      <c r="AM865" s="526"/>
      <c r="AN865" s="526"/>
      <c r="AO865" s="526"/>
      <c r="AP865" s="526"/>
      <c r="AQ865" s="526"/>
      <c r="AR865" s="526"/>
      <c r="AS865" s="526"/>
      <c r="AT865" s="526"/>
      <c r="AU865" s="526"/>
      <c r="AV865" s="526"/>
      <c r="AW865" s="526"/>
      <c r="AX865" s="526"/>
      <c r="AY865" s="526"/>
      <c r="AZ865" s="526"/>
      <c r="BA865" s="526"/>
      <c r="BB865" s="526"/>
      <c r="BC865" s="526"/>
      <c r="BD865" s="526"/>
      <c r="BE865" s="526"/>
      <c r="BF865" s="526"/>
      <c r="BG865" s="526"/>
    </row>
    <row r="866" spans="1:59" s="830" customFormat="1" ht="17.25" customHeight="1" x14ac:dyDescent="0.25">
      <c r="A866" s="865"/>
      <c r="B866" s="865"/>
      <c r="C866" s="908"/>
      <c r="G866" s="865"/>
      <c r="H866" s="874"/>
      <c r="I866" s="869"/>
      <c r="J866" s="869"/>
      <c r="K866" s="869"/>
      <c r="L866" s="869"/>
      <c r="M866" s="874"/>
      <c r="O866" s="874"/>
      <c r="P866" s="874"/>
      <c r="Q866" s="874"/>
      <c r="R866" s="874"/>
      <c r="S866" s="874"/>
      <c r="T866" s="874"/>
      <c r="W866" s="874"/>
      <c r="X866" s="874"/>
      <c r="Y866" s="874"/>
      <c r="Z866" s="874"/>
      <c r="AA866" s="874"/>
      <c r="AD866" s="526"/>
      <c r="AE866" s="526"/>
      <c r="AF866" s="526"/>
      <c r="AG866" s="526"/>
      <c r="AH866" s="526"/>
      <c r="AI866" s="526"/>
      <c r="AJ866" s="526"/>
      <c r="AK866" s="526"/>
      <c r="AL866" s="526"/>
      <c r="AM866" s="526"/>
      <c r="AN866" s="526"/>
      <c r="AO866" s="526"/>
      <c r="AP866" s="526"/>
      <c r="AQ866" s="526"/>
      <c r="AR866" s="526"/>
      <c r="AS866" s="526"/>
      <c r="AT866" s="526"/>
      <c r="AU866" s="526"/>
      <c r="AV866" s="526"/>
      <c r="AW866" s="526"/>
      <c r="AX866" s="526"/>
      <c r="AY866" s="526"/>
      <c r="AZ866" s="526"/>
      <c r="BA866" s="526"/>
      <c r="BB866" s="526"/>
      <c r="BC866" s="526"/>
      <c r="BD866" s="526"/>
      <c r="BE866" s="526"/>
      <c r="BF866" s="526"/>
      <c r="BG866" s="526"/>
    </row>
    <row r="867" spans="1:59" s="830" customFormat="1" ht="17.25" customHeight="1" x14ac:dyDescent="0.25">
      <c r="A867" s="865"/>
      <c r="B867" s="865"/>
      <c r="C867" s="908"/>
      <c r="G867" s="865"/>
      <c r="H867" s="874"/>
      <c r="I867" s="869"/>
      <c r="J867" s="869"/>
      <c r="K867" s="869"/>
      <c r="L867" s="869"/>
      <c r="M867" s="874"/>
      <c r="O867" s="874"/>
      <c r="P867" s="874"/>
      <c r="Q867" s="874"/>
      <c r="R867" s="874"/>
      <c r="S867" s="874"/>
      <c r="T867" s="874"/>
      <c r="W867" s="874"/>
      <c r="X867" s="874"/>
      <c r="Y867" s="874"/>
      <c r="Z867" s="874"/>
      <c r="AA867" s="874"/>
      <c r="AD867" s="526"/>
      <c r="AE867" s="526"/>
      <c r="AF867" s="526"/>
      <c r="AG867" s="526"/>
      <c r="AH867" s="526"/>
      <c r="AI867" s="526"/>
      <c r="AJ867" s="526"/>
      <c r="AK867" s="526"/>
      <c r="AL867" s="526"/>
      <c r="AM867" s="526"/>
      <c r="AN867" s="526"/>
      <c r="AO867" s="526"/>
      <c r="AP867" s="526"/>
      <c r="AQ867" s="526"/>
      <c r="AR867" s="526"/>
      <c r="AS867" s="526"/>
      <c r="AT867" s="526"/>
      <c r="AU867" s="526"/>
      <c r="AV867" s="526"/>
      <c r="AW867" s="526"/>
      <c r="AX867" s="526"/>
      <c r="AY867" s="526"/>
      <c r="AZ867" s="526"/>
      <c r="BA867" s="526"/>
      <c r="BB867" s="526"/>
      <c r="BC867" s="526"/>
      <c r="BD867" s="526"/>
      <c r="BE867" s="526"/>
      <c r="BF867" s="526"/>
      <c r="BG867" s="526"/>
    </row>
    <row r="868" spans="1:59" s="830" customFormat="1" ht="17.25" customHeight="1" x14ac:dyDescent="0.25">
      <c r="A868" s="865"/>
      <c r="B868" s="865"/>
      <c r="C868" s="908"/>
      <c r="G868" s="865"/>
      <c r="H868" s="874"/>
      <c r="I868" s="869"/>
      <c r="J868" s="869"/>
      <c r="K868" s="869"/>
      <c r="L868" s="869"/>
      <c r="M868" s="874"/>
      <c r="O868" s="874"/>
      <c r="P868" s="874"/>
      <c r="Q868" s="874"/>
      <c r="R868" s="874"/>
      <c r="S868" s="874"/>
      <c r="T868" s="874"/>
      <c r="W868" s="874"/>
      <c r="X868" s="874"/>
      <c r="Y868" s="874"/>
      <c r="Z868" s="874"/>
      <c r="AA868" s="874"/>
      <c r="AD868" s="526"/>
      <c r="AE868" s="526"/>
      <c r="AF868" s="526"/>
      <c r="AG868" s="526"/>
      <c r="AH868" s="526"/>
      <c r="AI868" s="526"/>
      <c r="AJ868" s="526"/>
      <c r="AK868" s="526"/>
      <c r="AL868" s="526"/>
      <c r="AM868" s="526"/>
      <c r="AN868" s="526"/>
      <c r="AO868" s="526"/>
      <c r="AP868" s="526"/>
      <c r="AQ868" s="526"/>
      <c r="AR868" s="526"/>
      <c r="AS868" s="526"/>
      <c r="AT868" s="526"/>
      <c r="AU868" s="526"/>
      <c r="AV868" s="526"/>
      <c r="AW868" s="526"/>
      <c r="AX868" s="526"/>
      <c r="AY868" s="526"/>
      <c r="AZ868" s="526"/>
      <c r="BA868" s="526"/>
      <c r="BB868" s="526"/>
      <c r="BC868" s="526"/>
      <c r="BD868" s="526"/>
      <c r="BE868" s="526"/>
      <c r="BF868" s="526"/>
      <c r="BG868" s="526"/>
    </row>
    <row r="869" spans="1:59" s="830" customFormat="1" ht="17.25" customHeight="1" x14ac:dyDescent="0.25">
      <c r="A869" s="865"/>
      <c r="B869" s="865"/>
      <c r="C869" s="908"/>
      <c r="G869" s="865"/>
      <c r="H869" s="874"/>
      <c r="I869" s="869"/>
      <c r="J869" s="869"/>
      <c r="K869" s="869"/>
      <c r="L869" s="869"/>
      <c r="M869" s="874"/>
      <c r="O869" s="874"/>
      <c r="P869" s="874"/>
      <c r="Q869" s="874"/>
      <c r="R869" s="874"/>
      <c r="S869" s="874"/>
      <c r="T869" s="874"/>
      <c r="W869" s="874"/>
      <c r="X869" s="874"/>
      <c r="Y869" s="874"/>
      <c r="Z869" s="874"/>
      <c r="AA869" s="874"/>
      <c r="AD869" s="526"/>
      <c r="AE869" s="526"/>
      <c r="AF869" s="526"/>
      <c r="AG869" s="526"/>
      <c r="AH869" s="526"/>
      <c r="AI869" s="526"/>
      <c r="AJ869" s="526"/>
      <c r="AK869" s="526"/>
      <c r="AL869" s="526"/>
      <c r="AM869" s="526"/>
      <c r="AN869" s="526"/>
      <c r="AO869" s="526"/>
      <c r="AP869" s="526"/>
      <c r="AQ869" s="526"/>
      <c r="AR869" s="526"/>
      <c r="AS869" s="526"/>
      <c r="AT869" s="526"/>
      <c r="AU869" s="526"/>
      <c r="AV869" s="526"/>
      <c r="AW869" s="526"/>
      <c r="AX869" s="526"/>
      <c r="AY869" s="526"/>
      <c r="AZ869" s="526"/>
      <c r="BA869" s="526"/>
      <c r="BB869" s="526"/>
      <c r="BC869" s="526"/>
      <c r="BD869" s="526"/>
      <c r="BE869" s="526"/>
      <c r="BF869" s="526"/>
      <c r="BG869" s="526"/>
    </row>
    <row r="870" spans="1:59" s="830" customFormat="1" ht="17.25" customHeight="1" x14ac:dyDescent="0.25">
      <c r="A870" s="865"/>
      <c r="B870" s="865"/>
      <c r="C870" s="908"/>
      <c r="G870" s="865"/>
      <c r="H870" s="874"/>
      <c r="I870" s="869"/>
      <c r="J870" s="869"/>
      <c r="K870" s="869"/>
      <c r="L870" s="869"/>
      <c r="M870" s="874"/>
      <c r="O870" s="874"/>
      <c r="P870" s="874"/>
      <c r="Q870" s="874"/>
      <c r="R870" s="874"/>
      <c r="S870" s="874"/>
      <c r="T870" s="874"/>
      <c r="W870" s="874"/>
      <c r="X870" s="874"/>
      <c r="Y870" s="874"/>
      <c r="Z870" s="874"/>
      <c r="AA870" s="874"/>
      <c r="AD870" s="526"/>
      <c r="AE870" s="526"/>
      <c r="AF870" s="526"/>
      <c r="AG870" s="526"/>
      <c r="AH870" s="526"/>
      <c r="AI870" s="526"/>
      <c r="AJ870" s="526"/>
      <c r="AK870" s="526"/>
      <c r="AL870" s="526"/>
      <c r="AM870" s="526"/>
      <c r="AN870" s="526"/>
      <c r="AO870" s="526"/>
      <c r="AP870" s="526"/>
      <c r="AQ870" s="526"/>
      <c r="AR870" s="526"/>
      <c r="AS870" s="526"/>
      <c r="AT870" s="526"/>
      <c r="AU870" s="526"/>
      <c r="AV870" s="526"/>
      <c r="AW870" s="526"/>
      <c r="AX870" s="526"/>
      <c r="AY870" s="526"/>
      <c r="AZ870" s="526"/>
      <c r="BA870" s="526"/>
      <c r="BB870" s="526"/>
      <c r="BC870" s="526"/>
      <c r="BD870" s="526"/>
      <c r="BE870" s="526"/>
      <c r="BF870" s="526"/>
      <c r="BG870" s="526"/>
    </row>
    <row r="871" spans="1:59" s="830" customFormat="1" ht="17.25" customHeight="1" x14ac:dyDescent="0.25">
      <c r="A871" s="865"/>
      <c r="B871" s="865"/>
      <c r="C871" s="908"/>
      <c r="G871" s="865"/>
      <c r="H871" s="874"/>
      <c r="I871" s="869"/>
      <c r="J871" s="869"/>
      <c r="K871" s="869"/>
      <c r="L871" s="869"/>
      <c r="M871" s="874"/>
      <c r="O871" s="874"/>
      <c r="P871" s="874"/>
      <c r="Q871" s="874"/>
      <c r="R871" s="874"/>
      <c r="S871" s="874"/>
      <c r="T871" s="874"/>
      <c r="W871" s="874"/>
      <c r="X871" s="874"/>
      <c r="Y871" s="874"/>
      <c r="Z871" s="874"/>
      <c r="AA871" s="874"/>
      <c r="AD871" s="526"/>
      <c r="AE871" s="526"/>
      <c r="AF871" s="526"/>
      <c r="AG871" s="526"/>
      <c r="AH871" s="526"/>
      <c r="AI871" s="526"/>
      <c r="AJ871" s="526"/>
      <c r="AK871" s="526"/>
      <c r="AL871" s="526"/>
      <c r="AM871" s="526"/>
      <c r="AN871" s="526"/>
      <c r="AO871" s="526"/>
      <c r="AP871" s="526"/>
      <c r="AQ871" s="526"/>
      <c r="AR871" s="526"/>
      <c r="AS871" s="526"/>
      <c r="AT871" s="526"/>
      <c r="AU871" s="526"/>
      <c r="AV871" s="526"/>
      <c r="AW871" s="526"/>
      <c r="AX871" s="526"/>
      <c r="AY871" s="526"/>
      <c r="AZ871" s="526"/>
      <c r="BA871" s="526"/>
      <c r="BB871" s="526"/>
      <c r="BC871" s="526"/>
      <c r="BD871" s="526"/>
      <c r="BE871" s="526"/>
      <c r="BF871" s="526"/>
      <c r="BG871" s="526"/>
    </row>
    <row r="872" spans="1:59" s="830" customFormat="1" ht="17.25" customHeight="1" x14ac:dyDescent="0.25">
      <c r="A872" s="865"/>
      <c r="B872" s="865"/>
      <c r="C872" s="908"/>
      <c r="G872" s="865"/>
      <c r="H872" s="874"/>
      <c r="I872" s="869"/>
      <c r="J872" s="869"/>
      <c r="K872" s="869"/>
      <c r="L872" s="869"/>
      <c r="M872" s="874"/>
      <c r="O872" s="874"/>
      <c r="P872" s="874"/>
      <c r="Q872" s="874"/>
      <c r="R872" s="874"/>
      <c r="S872" s="874"/>
      <c r="T872" s="874"/>
      <c r="W872" s="874"/>
      <c r="X872" s="874"/>
      <c r="Y872" s="874"/>
      <c r="Z872" s="874"/>
      <c r="AA872" s="874"/>
      <c r="AD872" s="526"/>
      <c r="AE872" s="526"/>
      <c r="AF872" s="526"/>
      <c r="AG872" s="526"/>
      <c r="AH872" s="526"/>
      <c r="AI872" s="526"/>
      <c r="AJ872" s="526"/>
      <c r="AK872" s="526"/>
      <c r="AL872" s="526"/>
      <c r="AM872" s="526"/>
      <c r="AN872" s="526"/>
      <c r="AO872" s="526"/>
      <c r="AP872" s="526"/>
      <c r="AQ872" s="526"/>
      <c r="AR872" s="526"/>
      <c r="AS872" s="526"/>
      <c r="AT872" s="526"/>
      <c r="AU872" s="526"/>
      <c r="AV872" s="526"/>
      <c r="AW872" s="526"/>
      <c r="AX872" s="526"/>
      <c r="AY872" s="526"/>
      <c r="AZ872" s="526"/>
      <c r="BA872" s="526"/>
      <c r="BB872" s="526"/>
      <c r="BC872" s="526"/>
      <c r="BD872" s="526"/>
      <c r="BE872" s="526"/>
      <c r="BF872" s="526"/>
      <c r="BG872" s="526"/>
    </row>
    <row r="873" spans="1:59" s="830" customFormat="1" ht="17.25" customHeight="1" x14ac:dyDescent="0.25">
      <c r="A873" s="865"/>
      <c r="B873" s="865"/>
      <c r="C873" s="908"/>
      <c r="G873" s="865"/>
      <c r="H873" s="874"/>
      <c r="I873" s="869"/>
      <c r="J873" s="869"/>
      <c r="K873" s="869"/>
      <c r="L873" s="869"/>
      <c r="M873" s="874"/>
      <c r="O873" s="874"/>
      <c r="P873" s="874"/>
      <c r="Q873" s="874"/>
      <c r="R873" s="874"/>
      <c r="S873" s="874"/>
      <c r="T873" s="874"/>
      <c r="W873" s="874"/>
      <c r="X873" s="874"/>
      <c r="Y873" s="874"/>
      <c r="Z873" s="874"/>
      <c r="AA873" s="874"/>
      <c r="AD873" s="526"/>
      <c r="AE873" s="526"/>
      <c r="AF873" s="526"/>
      <c r="AG873" s="526"/>
      <c r="AH873" s="526"/>
      <c r="AI873" s="526"/>
      <c r="AJ873" s="526"/>
      <c r="AK873" s="526"/>
      <c r="AL873" s="526"/>
      <c r="AM873" s="526"/>
      <c r="AN873" s="526"/>
      <c r="AO873" s="526"/>
      <c r="AP873" s="526"/>
      <c r="AQ873" s="526"/>
      <c r="AR873" s="526"/>
      <c r="AS873" s="526"/>
      <c r="AT873" s="526"/>
      <c r="AU873" s="526"/>
      <c r="AV873" s="526"/>
      <c r="AW873" s="526"/>
      <c r="AX873" s="526"/>
      <c r="AY873" s="526"/>
      <c r="AZ873" s="526"/>
      <c r="BA873" s="526"/>
      <c r="BB873" s="526"/>
      <c r="BC873" s="526"/>
      <c r="BD873" s="526"/>
      <c r="BE873" s="526"/>
      <c r="BF873" s="526"/>
      <c r="BG873" s="526"/>
    </row>
    <row r="874" spans="1:59" s="830" customFormat="1" ht="17.25" customHeight="1" x14ac:dyDescent="0.25">
      <c r="A874" s="865"/>
      <c r="B874" s="865"/>
      <c r="C874" s="908"/>
      <c r="G874" s="865"/>
      <c r="H874" s="874"/>
      <c r="I874" s="869"/>
      <c r="J874" s="869"/>
      <c r="K874" s="869"/>
      <c r="L874" s="869"/>
      <c r="M874" s="874"/>
      <c r="O874" s="874"/>
      <c r="P874" s="874"/>
      <c r="Q874" s="874"/>
      <c r="R874" s="874"/>
      <c r="S874" s="874"/>
      <c r="T874" s="874"/>
      <c r="W874" s="874"/>
      <c r="X874" s="874"/>
      <c r="Y874" s="874"/>
      <c r="Z874" s="874"/>
      <c r="AA874" s="874"/>
      <c r="AD874" s="526"/>
      <c r="AE874" s="526"/>
      <c r="AF874" s="526"/>
      <c r="AG874" s="526"/>
      <c r="AH874" s="526"/>
      <c r="AI874" s="526"/>
      <c r="AJ874" s="526"/>
      <c r="AK874" s="526"/>
      <c r="AL874" s="526"/>
      <c r="AM874" s="526"/>
      <c r="AN874" s="526"/>
      <c r="AO874" s="526"/>
      <c r="AP874" s="526"/>
      <c r="AQ874" s="526"/>
      <c r="AR874" s="526"/>
      <c r="AS874" s="526"/>
      <c r="AT874" s="526"/>
      <c r="AU874" s="526"/>
      <c r="AV874" s="526"/>
      <c r="AW874" s="526"/>
      <c r="AX874" s="526"/>
      <c r="AY874" s="526"/>
      <c r="AZ874" s="526"/>
      <c r="BA874" s="526"/>
      <c r="BB874" s="526"/>
      <c r="BC874" s="526"/>
      <c r="BD874" s="526"/>
      <c r="BE874" s="526"/>
      <c r="BF874" s="526"/>
      <c r="BG874" s="526"/>
    </row>
    <row r="875" spans="1:59" s="830" customFormat="1" ht="17.25" customHeight="1" x14ac:dyDescent="0.25">
      <c r="A875" s="865"/>
      <c r="B875" s="865"/>
      <c r="C875" s="908"/>
      <c r="G875" s="865"/>
      <c r="H875" s="874"/>
      <c r="I875" s="869"/>
      <c r="J875" s="869"/>
      <c r="K875" s="869"/>
      <c r="L875" s="869"/>
      <c r="M875" s="874"/>
      <c r="O875" s="874"/>
      <c r="P875" s="874"/>
      <c r="Q875" s="874"/>
      <c r="R875" s="874"/>
      <c r="S875" s="874"/>
      <c r="T875" s="874"/>
      <c r="W875" s="874"/>
      <c r="X875" s="874"/>
      <c r="Y875" s="874"/>
      <c r="Z875" s="874"/>
      <c r="AA875" s="874"/>
      <c r="AD875" s="526"/>
      <c r="AE875" s="526"/>
      <c r="AF875" s="526"/>
      <c r="AG875" s="526"/>
      <c r="AH875" s="526"/>
      <c r="AI875" s="526"/>
      <c r="AJ875" s="526"/>
      <c r="AK875" s="526"/>
      <c r="AL875" s="526"/>
      <c r="AM875" s="526"/>
      <c r="AN875" s="526"/>
      <c r="AO875" s="526"/>
      <c r="AP875" s="526"/>
      <c r="AQ875" s="526"/>
      <c r="AR875" s="526"/>
      <c r="AS875" s="526"/>
      <c r="AT875" s="526"/>
      <c r="AU875" s="526"/>
      <c r="AV875" s="526"/>
      <c r="AW875" s="526"/>
      <c r="AX875" s="526"/>
      <c r="AY875" s="526"/>
      <c r="AZ875" s="526"/>
      <c r="BA875" s="526"/>
      <c r="BB875" s="526"/>
      <c r="BC875" s="526"/>
      <c r="BD875" s="526"/>
      <c r="BE875" s="526"/>
      <c r="BF875" s="526"/>
      <c r="BG875" s="526"/>
    </row>
    <row r="876" spans="1:59" s="830" customFormat="1" ht="17.25" customHeight="1" x14ac:dyDescent="0.25">
      <c r="A876" s="865"/>
      <c r="B876" s="865"/>
      <c r="C876" s="908"/>
      <c r="G876" s="865"/>
      <c r="H876" s="874"/>
      <c r="I876" s="869"/>
      <c r="J876" s="869"/>
      <c r="K876" s="869"/>
      <c r="L876" s="869"/>
      <c r="M876" s="874"/>
      <c r="O876" s="874"/>
      <c r="P876" s="874"/>
      <c r="Q876" s="874"/>
      <c r="R876" s="874"/>
      <c r="S876" s="874"/>
      <c r="T876" s="874"/>
      <c r="W876" s="874"/>
      <c r="X876" s="874"/>
      <c r="Y876" s="874"/>
      <c r="Z876" s="874"/>
      <c r="AA876" s="874"/>
      <c r="AD876" s="526"/>
      <c r="AE876" s="526"/>
      <c r="AF876" s="526"/>
      <c r="AG876" s="526"/>
      <c r="AH876" s="526"/>
      <c r="AI876" s="526"/>
      <c r="AJ876" s="526"/>
      <c r="AK876" s="526"/>
      <c r="AL876" s="526"/>
      <c r="AM876" s="526"/>
      <c r="AN876" s="526"/>
      <c r="AO876" s="526"/>
      <c r="AP876" s="526"/>
      <c r="AQ876" s="526"/>
      <c r="AR876" s="526"/>
      <c r="AS876" s="526"/>
      <c r="AT876" s="526"/>
      <c r="AU876" s="526"/>
      <c r="AV876" s="526"/>
      <c r="AW876" s="526"/>
      <c r="AX876" s="526"/>
      <c r="AY876" s="526"/>
      <c r="AZ876" s="526"/>
      <c r="BA876" s="526"/>
      <c r="BB876" s="526"/>
      <c r="BC876" s="526"/>
      <c r="BD876" s="526"/>
      <c r="BE876" s="526"/>
      <c r="BF876" s="526"/>
      <c r="BG876" s="526"/>
    </row>
    <row r="877" spans="1:59" s="830" customFormat="1" ht="17.25" customHeight="1" x14ac:dyDescent="0.25">
      <c r="A877" s="865"/>
      <c r="B877" s="865"/>
      <c r="C877" s="908"/>
      <c r="G877" s="865"/>
      <c r="H877" s="874"/>
      <c r="I877" s="869"/>
      <c r="J877" s="869"/>
      <c r="K877" s="869"/>
      <c r="L877" s="869"/>
      <c r="M877" s="874"/>
      <c r="O877" s="874"/>
      <c r="P877" s="874"/>
      <c r="Q877" s="874"/>
      <c r="R877" s="874"/>
      <c r="S877" s="874"/>
      <c r="T877" s="874"/>
      <c r="W877" s="874"/>
      <c r="X877" s="874"/>
      <c r="Y877" s="874"/>
      <c r="Z877" s="874"/>
      <c r="AA877" s="874"/>
      <c r="AD877" s="526"/>
      <c r="AE877" s="526"/>
      <c r="AF877" s="526"/>
      <c r="AG877" s="526"/>
      <c r="AH877" s="526"/>
      <c r="AI877" s="526"/>
      <c r="AJ877" s="526"/>
      <c r="AK877" s="526"/>
      <c r="AL877" s="526"/>
      <c r="AM877" s="526"/>
      <c r="AN877" s="526"/>
      <c r="AO877" s="526"/>
      <c r="AP877" s="526"/>
      <c r="AQ877" s="526"/>
      <c r="AR877" s="526"/>
      <c r="AS877" s="526"/>
      <c r="AT877" s="526"/>
      <c r="AU877" s="526"/>
      <c r="AV877" s="526"/>
      <c r="AW877" s="526"/>
      <c r="AX877" s="526"/>
      <c r="AY877" s="526"/>
      <c r="AZ877" s="526"/>
      <c r="BA877" s="526"/>
      <c r="BB877" s="526"/>
      <c r="BC877" s="526"/>
      <c r="BD877" s="526"/>
      <c r="BE877" s="526"/>
      <c r="BF877" s="526"/>
      <c r="BG877" s="526"/>
    </row>
    <row r="878" spans="1:59" s="830" customFormat="1" ht="17.25" customHeight="1" x14ac:dyDescent="0.25">
      <c r="A878" s="865"/>
      <c r="B878" s="865"/>
      <c r="C878" s="908"/>
      <c r="G878" s="865"/>
      <c r="H878" s="874"/>
      <c r="I878" s="869"/>
      <c r="J878" s="869"/>
      <c r="K878" s="869"/>
      <c r="L878" s="869"/>
      <c r="M878" s="874"/>
      <c r="O878" s="874"/>
      <c r="P878" s="874"/>
      <c r="Q878" s="874"/>
      <c r="R878" s="874"/>
      <c r="S878" s="874"/>
      <c r="T878" s="874"/>
      <c r="W878" s="874"/>
      <c r="X878" s="874"/>
      <c r="Y878" s="874"/>
      <c r="Z878" s="874"/>
      <c r="AA878" s="874"/>
      <c r="AD878" s="526"/>
      <c r="AE878" s="526"/>
      <c r="AF878" s="526"/>
      <c r="AG878" s="526"/>
      <c r="AH878" s="526"/>
      <c r="AI878" s="526"/>
      <c r="AJ878" s="526"/>
      <c r="AK878" s="526"/>
      <c r="AL878" s="526"/>
      <c r="AM878" s="526"/>
      <c r="AN878" s="526"/>
      <c r="AO878" s="526"/>
      <c r="AP878" s="526"/>
      <c r="AQ878" s="526"/>
      <c r="AR878" s="526"/>
      <c r="AS878" s="526"/>
      <c r="AT878" s="526"/>
      <c r="AU878" s="526"/>
      <c r="AV878" s="526"/>
      <c r="AW878" s="526"/>
      <c r="AX878" s="526"/>
      <c r="AY878" s="526"/>
      <c r="AZ878" s="526"/>
      <c r="BA878" s="526"/>
      <c r="BB878" s="526"/>
      <c r="BC878" s="526"/>
      <c r="BD878" s="526"/>
      <c r="BE878" s="526"/>
      <c r="BF878" s="526"/>
      <c r="BG878" s="526"/>
    </row>
    <row r="879" spans="1:59" s="830" customFormat="1" ht="17.25" customHeight="1" x14ac:dyDescent="0.25">
      <c r="A879" s="865"/>
      <c r="B879" s="865"/>
      <c r="C879" s="908"/>
      <c r="G879" s="865"/>
      <c r="H879" s="874"/>
      <c r="I879" s="869"/>
      <c r="J879" s="869"/>
      <c r="K879" s="869"/>
      <c r="L879" s="869"/>
      <c r="M879" s="874"/>
      <c r="O879" s="874"/>
      <c r="P879" s="874"/>
      <c r="Q879" s="874"/>
      <c r="R879" s="874"/>
      <c r="S879" s="874"/>
      <c r="T879" s="874"/>
      <c r="W879" s="874"/>
      <c r="X879" s="874"/>
      <c r="Y879" s="874"/>
      <c r="Z879" s="874"/>
      <c r="AA879" s="874"/>
      <c r="AD879" s="526"/>
      <c r="AE879" s="526"/>
      <c r="AF879" s="526"/>
      <c r="AG879" s="526"/>
      <c r="AH879" s="526"/>
      <c r="AI879" s="526"/>
      <c r="AJ879" s="526"/>
      <c r="AK879" s="526"/>
      <c r="AL879" s="526"/>
      <c r="AM879" s="526"/>
      <c r="AN879" s="526"/>
      <c r="AO879" s="526"/>
      <c r="AP879" s="526"/>
      <c r="AQ879" s="526"/>
      <c r="AR879" s="526"/>
      <c r="AS879" s="526"/>
      <c r="AT879" s="526"/>
      <c r="AU879" s="526"/>
      <c r="AV879" s="526"/>
      <c r="AW879" s="526"/>
      <c r="AX879" s="526"/>
      <c r="AY879" s="526"/>
      <c r="AZ879" s="526"/>
      <c r="BA879" s="526"/>
      <c r="BB879" s="526"/>
      <c r="BC879" s="526"/>
      <c r="BD879" s="526"/>
      <c r="BE879" s="526"/>
      <c r="BF879" s="526"/>
      <c r="BG879" s="526"/>
    </row>
    <row r="880" spans="1:59" s="830" customFormat="1" ht="17.25" customHeight="1" x14ac:dyDescent="0.25">
      <c r="A880" s="865"/>
      <c r="B880" s="865"/>
      <c r="C880" s="908"/>
      <c r="G880" s="865"/>
      <c r="H880" s="874"/>
      <c r="I880" s="869"/>
      <c r="J880" s="869"/>
      <c r="K880" s="869"/>
      <c r="L880" s="869"/>
      <c r="M880" s="874"/>
      <c r="O880" s="874"/>
      <c r="P880" s="874"/>
      <c r="Q880" s="874"/>
      <c r="R880" s="874"/>
      <c r="S880" s="874"/>
      <c r="T880" s="874"/>
      <c r="W880" s="874"/>
      <c r="X880" s="874"/>
      <c r="Y880" s="874"/>
      <c r="Z880" s="874"/>
      <c r="AA880" s="874"/>
      <c r="AD880" s="526"/>
      <c r="AE880" s="526"/>
      <c r="AF880" s="526"/>
      <c r="AG880" s="526"/>
      <c r="AH880" s="526"/>
      <c r="AI880" s="526"/>
      <c r="AJ880" s="526"/>
      <c r="AK880" s="526"/>
      <c r="AL880" s="526"/>
      <c r="AM880" s="526"/>
      <c r="AN880" s="526"/>
      <c r="AO880" s="526"/>
      <c r="AP880" s="526"/>
      <c r="AQ880" s="526"/>
      <c r="AR880" s="526"/>
      <c r="AS880" s="526"/>
      <c r="AT880" s="526"/>
      <c r="AU880" s="526"/>
      <c r="AV880" s="526"/>
      <c r="AW880" s="526"/>
      <c r="AX880" s="526"/>
      <c r="AY880" s="526"/>
      <c r="AZ880" s="526"/>
      <c r="BA880" s="526"/>
      <c r="BB880" s="526"/>
      <c r="BC880" s="526"/>
      <c r="BD880" s="526"/>
      <c r="BE880" s="526"/>
      <c r="BF880" s="526"/>
      <c r="BG880" s="526"/>
    </row>
    <row r="881" spans="1:59" s="830" customFormat="1" ht="17.25" customHeight="1" x14ac:dyDescent="0.25">
      <c r="A881" s="865"/>
      <c r="B881" s="865"/>
      <c r="C881" s="908"/>
      <c r="G881" s="865"/>
      <c r="H881" s="874"/>
      <c r="I881" s="869"/>
      <c r="J881" s="869"/>
      <c r="K881" s="869"/>
      <c r="L881" s="869"/>
      <c r="M881" s="874"/>
      <c r="O881" s="874"/>
      <c r="P881" s="874"/>
      <c r="Q881" s="874"/>
      <c r="R881" s="874"/>
      <c r="S881" s="874"/>
      <c r="T881" s="874"/>
      <c r="W881" s="874"/>
      <c r="X881" s="874"/>
      <c r="Y881" s="874"/>
      <c r="Z881" s="874"/>
      <c r="AA881" s="874"/>
      <c r="AD881" s="526"/>
      <c r="AE881" s="526"/>
      <c r="AF881" s="526"/>
      <c r="AG881" s="526"/>
      <c r="AH881" s="526"/>
      <c r="AI881" s="526"/>
      <c r="AJ881" s="526"/>
      <c r="AK881" s="526"/>
      <c r="AL881" s="526"/>
      <c r="AM881" s="526"/>
      <c r="AN881" s="526"/>
      <c r="AO881" s="526"/>
      <c r="AP881" s="526"/>
      <c r="AQ881" s="526"/>
      <c r="AR881" s="526"/>
      <c r="AS881" s="526"/>
      <c r="AT881" s="526"/>
      <c r="AU881" s="526"/>
      <c r="AV881" s="526"/>
      <c r="AW881" s="526"/>
      <c r="AX881" s="526"/>
      <c r="AY881" s="526"/>
      <c r="AZ881" s="526"/>
      <c r="BA881" s="526"/>
      <c r="BB881" s="526"/>
      <c r="BC881" s="526"/>
      <c r="BD881" s="526"/>
      <c r="BE881" s="526"/>
      <c r="BF881" s="526"/>
      <c r="BG881" s="526"/>
    </row>
    <row r="882" spans="1:59" s="830" customFormat="1" ht="17.25" customHeight="1" x14ac:dyDescent="0.25">
      <c r="A882" s="865"/>
      <c r="B882" s="865"/>
      <c r="C882" s="908"/>
      <c r="G882" s="865"/>
      <c r="H882" s="874"/>
      <c r="I882" s="869"/>
      <c r="J882" s="869"/>
      <c r="K882" s="869"/>
      <c r="L882" s="869"/>
      <c r="M882" s="874"/>
      <c r="O882" s="874"/>
      <c r="P882" s="874"/>
      <c r="Q882" s="874"/>
      <c r="R882" s="874"/>
      <c r="S882" s="874"/>
      <c r="T882" s="874"/>
      <c r="W882" s="874"/>
      <c r="X882" s="874"/>
      <c r="Y882" s="874"/>
      <c r="Z882" s="874"/>
      <c r="AA882" s="874"/>
      <c r="AD882" s="526"/>
      <c r="AE882" s="526"/>
      <c r="AF882" s="526"/>
      <c r="AG882" s="526"/>
      <c r="AH882" s="526"/>
      <c r="AI882" s="526"/>
      <c r="AJ882" s="526"/>
      <c r="AK882" s="526"/>
      <c r="AL882" s="526"/>
      <c r="AM882" s="526"/>
      <c r="AN882" s="526"/>
      <c r="AO882" s="526"/>
      <c r="AP882" s="526"/>
      <c r="AQ882" s="526"/>
      <c r="AR882" s="526"/>
      <c r="AS882" s="526"/>
      <c r="AT882" s="526"/>
      <c r="AU882" s="526"/>
      <c r="AV882" s="526"/>
      <c r="AW882" s="526"/>
      <c r="AX882" s="526"/>
      <c r="AY882" s="526"/>
      <c r="AZ882" s="526"/>
      <c r="BA882" s="526"/>
      <c r="BB882" s="526"/>
      <c r="BC882" s="526"/>
      <c r="BD882" s="526"/>
      <c r="BE882" s="526"/>
      <c r="BF882" s="526"/>
      <c r="BG882" s="526"/>
    </row>
    <row r="883" spans="1:59" s="830" customFormat="1" ht="17.25" customHeight="1" x14ac:dyDescent="0.25">
      <c r="A883" s="865"/>
      <c r="B883" s="865"/>
      <c r="C883" s="908"/>
      <c r="G883" s="865"/>
      <c r="H883" s="874"/>
      <c r="I883" s="869"/>
      <c r="J883" s="869"/>
      <c r="K883" s="869"/>
      <c r="L883" s="869"/>
      <c r="M883" s="874"/>
      <c r="O883" s="874"/>
      <c r="P883" s="874"/>
      <c r="Q883" s="874"/>
      <c r="R883" s="874"/>
      <c r="S883" s="874"/>
      <c r="T883" s="874"/>
      <c r="W883" s="874"/>
      <c r="X883" s="874"/>
      <c r="Y883" s="874"/>
      <c r="Z883" s="874"/>
      <c r="AA883" s="874"/>
      <c r="AD883" s="526"/>
      <c r="AE883" s="526"/>
      <c r="AF883" s="526"/>
      <c r="AG883" s="526"/>
      <c r="AH883" s="526"/>
      <c r="AI883" s="526"/>
      <c r="AJ883" s="526"/>
      <c r="AK883" s="526"/>
      <c r="AL883" s="526"/>
      <c r="AM883" s="526"/>
      <c r="AN883" s="526"/>
      <c r="AO883" s="526"/>
      <c r="AP883" s="526"/>
      <c r="AQ883" s="526"/>
      <c r="AR883" s="526"/>
      <c r="AS883" s="526"/>
      <c r="AT883" s="526"/>
      <c r="AU883" s="526"/>
      <c r="AV883" s="526"/>
      <c r="AW883" s="526"/>
      <c r="AX883" s="526"/>
      <c r="AY883" s="526"/>
      <c r="AZ883" s="526"/>
      <c r="BA883" s="526"/>
      <c r="BB883" s="526"/>
      <c r="BC883" s="526"/>
      <c r="BD883" s="526"/>
      <c r="BE883" s="526"/>
      <c r="BF883" s="526"/>
      <c r="BG883" s="526"/>
    </row>
    <row r="884" spans="1:59" s="830" customFormat="1" ht="17.25" customHeight="1" x14ac:dyDescent="0.25">
      <c r="A884" s="865"/>
      <c r="B884" s="865"/>
      <c r="C884" s="908"/>
      <c r="G884" s="865"/>
      <c r="H884" s="874"/>
      <c r="I884" s="869"/>
      <c r="J884" s="869"/>
      <c r="K884" s="869"/>
      <c r="L884" s="869"/>
      <c r="M884" s="874"/>
      <c r="O884" s="874"/>
      <c r="P884" s="874"/>
      <c r="Q884" s="874"/>
      <c r="R884" s="874"/>
      <c r="S884" s="874"/>
      <c r="T884" s="874"/>
      <c r="W884" s="874"/>
      <c r="X884" s="874"/>
      <c r="Y884" s="874"/>
      <c r="Z884" s="874"/>
      <c r="AA884" s="874"/>
      <c r="AD884" s="526"/>
      <c r="AE884" s="526"/>
      <c r="AF884" s="526"/>
      <c r="AG884" s="526"/>
      <c r="AH884" s="526"/>
      <c r="AI884" s="526"/>
      <c r="AJ884" s="526"/>
      <c r="AK884" s="526"/>
      <c r="AL884" s="526"/>
      <c r="AM884" s="526"/>
      <c r="AN884" s="526"/>
      <c r="AO884" s="526"/>
      <c r="AP884" s="526"/>
      <c r="AQ884" s="526"/>
      <c r="AR884" s="526"/>
      <c r="AS884" s="526"/>
      <c r="AT884" s="526"/>
      <c r="AU884" s="526"/>
      <c r="AV884" s="526"/>
      <c r="AW884" s="526"/>
      <c r="AX884" s="526"/>
      <c r="AY884" s="526"/>
      <c r="AZ884" s="526"/>
      <c r="BA884" s="526"/>
      <c r="BB884" s="526"/>
      <c r="BC884" s="526"/>
      <c r="BD884" s="526"/>
      <c r="BE884" s="526"/>
      <c r="BF884" s="526"/>
      <c r="BG884" s="526"/>
    </row>
    <row r="885" spans="1:59" s="830" customFormat="1" ht="17.25" customHeight="1" x14ac:dyDescent="0.25">
      <c r="A885" s="865"/>
      <c r="B885" s="865"/>
      <c r="C885" s="908"/>
      <c r="G885" s="865"/>
      <c r="H885" s="874"/>
      <c r="I885" s="869"/>
      <c r="J885" s="869"/>
      <c r="K885" s="869"/>
      <c r="L885" s="869"/>
      <c r="M885" s="874"/>
      <c r="O885" s="874"/>
      <c r="P885" s="874"/>
      <c r="Q885" s="874"/>
      <c r="R885" s="874"/>
      <c r="S885" s="874"/>
      <c r="T885" s="874"/>
      <c r="W885" s="874"/>
      <c r="X885" s="874"/>
      <c r="Y885" s="874"/>
      <c r="Z885" s="874"/>
      <c r="AA885" s="874"/>
      <c r="AD885" s="526"/>
      <c r="AE885" s="526"/>
      <c r="AF885" s="526"/>
      <c r="AG885" s="526"/>
      <c r="AH885" s="526"/>
      <c r="AI885" s="526"/>
      <c r="AJ885" s="526"/>
      <c r="AK885" s="526"/>
      <c r="AL885" s="526"/>
      <c r="AM885" s="526"/>
      <c r="AN885" s="526"/>
      <c r="AO885" s="526"/>
      <c r="AP885" s="526"/>
      <c r="AQ885" s="526"/>
      <c r="AR885" s="526"/>
      <c r="AS885" s="526"/>
      <c r="AT885" s="526"/>
      <c r="AU885" s="526"/>
      <c r="AV885" s="526"/>
      <c r="AW885" s="526"/>
      <c r="AX885" s="526"/>
      <c r="AY885" s="526"/>
      <c r="AZ885" s="526"/>
      <c r="BA885" s="526"/>
      <c r="BB885" s="526"/>
      <c r="BC885" s="526"/>
      <c r="BD885" s="526"/>
      <c r="BE885" s="526"/>
      <c r="BF885" s="526"/>
      <c r="BG885" s="526"/>
    </row>
    <row r="886" spans="1:59" s="830" customFormat="1" ht="17.25" customHeight="1" x14ac:dyDescent="0.25">
      <c r="A886" s="865"/>
      <c r="B886" s="865"/>
      <c r="C886" s="908"/>
      <c r="G886" s="865"/>
      <c r="H886" s="874"/>
      <c r="I886" s="869"/>
      <c r="J886" s="869"/>
      <c r="K886" s="869"/>
      <c r="L886" s="869"/>
      <c r="M886" s="874"/>
      <c r="O886" s="874"/>
      <c r="P886" s="874"/>
      <c r="Q886" s="874"/>
      <c r="R886" s="874"/>
      <c r="S886" s="874"/>
      <c r="T886" s="874"/>
      <c r="W886" s="874"/>
      <c r="X886" s="874"/>
      <c r="Y886" s="874"/>
      <c r="Z886" s="874"/>
      <c r="AA886" s="874"/>
      <c r="AD886" s="526"/>
      <c r="AE886" s="526"/>
      <c r="AF886" s="526"/>
      <c r="AG886" s="526"/>
      <c r="AH886" s="526"/>
      <c r="AI886" s="526"/>
      <c r="AJ886" s="526"/>
      <c r="AK886" s="526"/>
      <c r="AL886" s="526"/>
      <c r="AM886" s="526"/>
      <c r="AN886" s="526"/>
      <c r="AO886" s="526"/>
      <c r="AP886" s="526"/>
      <c r="AQ886" s="526"/>
      <c r="AR886" s="526"/>
      <c r="AS886" s="526"/>
      <c r="AT886" s="526"/>
      <c r="AU886" s="526"/>
      <c r="AV886" s="526"/>
      <c r="AW886" s="526"/>
      <c r="AX886" s="526"/>
      <c r="AY886" s="526"/>
      <c r="AZ886" s="526"/>
      <c r="BA886" s="526"/>
      <c r="BB886" s="526"/>
      <c r="BC886" s="526"/>
      <c r="BD886" s="526"/>
      <c r="BE886" s="526"/>
      <c r="BF886" s="526"/>
      <c r="BG886" s="526"/>
    </row>
    <row r="887" spans="1:59" s="830" customFormat="1" ht="17.25" customHeight="1" x14ac:dyDescent="0.25">
      <c r="A887" s="865"/>
      <c r="B887" s="865"/>
      <c r="C887" s="908"/>
      <c r="G887" s="865"/>
      <c r="H887" s="874"/>
      <c r="I887" s="869"/>
      <c r="J887" s="869"/>
      <c r="K887" s="869"/>
      <c r="L887" s="869"/>
      <c r="M887" s="874"/>
      <c r="O887" s="874"/>
      <c r="P887" s="874"/>
      <c r="Q887" s="874"/>
      <c r="R887" s="874"/>
      <c r="S887" s="874"/>
      <c r="T887" s="874"/>
      <c r="W887" s="874"/>
      <c r="X887" s="874"/>
      <c r="Y887" s="874"/>
      <c r="Z887" s="874"/>
      <c r="AA887" s="874"/>
      <c r="AD887" s="526"/>
      <c r="AE887" s="526"/>
      <c r="AF887" s="526"/>
      <c r="AG887" s="526"/>
      <c r="AH887" s="526"/>
      <c r="AI887" s="526"/>
      <c r="AJ887" s="526"/>
      <c r="AK887" s="526"/>
      <c r="AL887" s="526"/>
      <c r="AM887" s="526"/>
      <c r="AN887" s="526"/>
      <c r="AO887" s="526"/>
      <c r="AP887" s="526"/>
      <c r="AQ887" s="526"/>
      <c r="AR887" s="526"/>
      <c r="AS887" s="526"/>
      <c r="AT887" s="526"/>
      <c r="AU887" s="526"/>
      <c r="AV887" s="526"/>
      <c r="AW887" s="526"/>
      <c r="AX887" s="526"/>
      <c r="AY887" s="526"/>
      <c r="AZ887" s="526"/>
      <c r="BA887" s="526"/>
      <c r="BB887" s="526"/>
      <c r="BC887" s="526"/>
      <c r="BD887" s="526"/>
      <c r="BE887" s="526"/>
      <c r="BF887" s="526"/>
      <c r="BG887" s="526"/>
    </row>
    <row r="888" spans="1:59" s="830" customFormat="1" ht="17.25" customHeight="1" x14ac:dyDescent="0.25">
      <c r="A888" s="865"/>
      <c r="B888" s="865"/>
      <c r="C888" s="908"/>
      <c r="G888" s="865"/>
      <c r="H888" s="874"/>
      <c r="I888" s="869"/>
      <c r="J888" s="869"/>
      <c r="K888" s="869"/>
      <c r="L888" s="869"/>
      <c r="M888" s="874"/>
      <c r="O888" s="874"/>
      <c r="P888" s="874"/>
      <c r="Q888" s="874"/>
      <c r="R888" s="874"/>
      <c r="S888" s="874"/>
      <c r="T888" s="874"/>
      <c r="W888" s="874"/>
      <c r="X888" s="874"/>
      <c r="Y888" s="874"/>
      <c r="Z888" s="874"/>
      <c r="AA888" s="874"/>
      <c r="AD888" s="526"/>
      <c r="AE888" s="526"/>
      <c r="AF888" s="526"/>
      <c r="AG888" s="526"/>
      <c r="AH888" s="526"/>
      <c r="AI888" s="526"/>
      <c r="AJ888" s="526"/>
      <c r="AK888" s="526"/>
      <c r="AL888" s="526"/>
      <c r="AM888" s="526"/>
      <c r="AN888" s="526"/>
      <c r="AO888" s="526"/>
      <c r="AP888" s="526"/>
      <c r="AQ888" s="526"/>
      <c r="AR888" s="526"/>
      <c r="AS888" s="526"/>
      <c r="AT888" s="526"/>
      <c r="AU888" s="526"/>
      <c r="AV888" s="526"/>
      <c r="AW888" s="526"/>
      <c r="AX888" s="526"/>
      <c r="AY888" s="526"/>
      <c r="AZ888" s="526"/>
      <c r="BA888" s="526"/>
      <c r="BB888" s="526"/>
      <c r="BC888" s="526"/>
      <c r="BD888" s="526"/>
      <c r="BE888" s="526"/>
      <c r="BF888" s="526"/>
      <c r="BG888" s="526"/>
    </row>
    <row r="889" spans="1:59" s="830" customFormat="1" ht="17.25" customHeight="1" x14ac:dyDescent="0.25">
      <c r="A889" s="865"/>
      <c r="B889" s="865"/>
      <c r="C889" s="908"/>
      <c r="G889" s="865"/>
      <c r="H889" s="874"/>
      <c r="I889" s="869"/>
      <c r="J889" s="869"/>
      <c r="K889" s="869"/>
      <c r="L889" s="869"/>
      <c r="M889" s="874"/>
      <c r="O889" s="874"/>
      <c r="P889" s="874"/>
      <c r="Q889" s="874"/>
      <c r="R889" s="874"/>
      <c r="S889" s="874"/>
      <c r="T889" s="874"/>
      <c r="W889" s="874"/>
      <c r="X889" s="874"/>
      <c r="Y889" s="874"/>
      <c r="Z889" s="874"/>
      <c r="AA889" s="874"/>
      <c r="AD889" s="526"/>
      <c r="AE889" s="526"/>
      <c r="AF889" s="526"/>
      <c r="AG889" s="526"/>
      <c r="AH889" s="526"/>
      <c r="AI889" s="526"/>
      <c r="AJ889" s="526"/>
      <c r="AK889" s="526"/>
      <c r="AL889" s="526"/>
      <c r="AM889" s="526"/>
      <c r="AN889" s="526"/>
      <c r="AO889" s="526"/>
      <c r="AP889" s="526"/>
      <c r="AQ889" s="526"/>
      <c r="AR889" s="526"/>
      <c r="AS889" s="526"/>
      <c r="AT889" s="526"/>
      <c r="AU889" s="526"/>
      <c r="AV889" s="526"/>
      <c r="AW889" s="526"/>
      <c r="AX889" s="526"/>
      <c r="AY889" s="526"/>
      <c r="AZ889" s="526"/>
      <c r="BA889" s="526"/>
      <c r="BB889" s="526"/>
      <c r="BC889" s="526"/>
      <c r="BD889" s="526"/>
      <c r="BE889" s="526"/>
      <c r="BF889" s="526"/>
      <c r="BG889" s="526"/>
    </row>
    <row r="890" spans="1:59" s="830" customFormat="1" ht="17.25" customHeight="1" x14ac:dyDescent="0.25">
      <c r="A890" s="865"/>
      <c r="B890" s="865"/>
      <c r="C890" s="908"/>
      <c r="G890" s="865"/>
      <c r="H890" s="874"/>
      <c r="I890" s="869"/>
      <c r="J890" s="869"/>
      <c r="K890" s="869"/>
      <c r="L890" s="869"/>
      <c r="M890" s="874"/>
      <c r="O890" s="874"/>
      <c r="P890" s="874"/>
      <c r="Q890" s="874"/>
      <c r="R890" s="874"/>
      <c r="S890" s="874"/>
      <c r="T890" s="874"/>
      <c r="W890" s="874"/>
      <c r="X890" s="874"/>
      <c r="Y890" s="874"/>
      <c r="Z890" s="874"/>
      <c r="AA890" s="874"/>
      <c r="AD890" s="526"/>
      <c r="AE890" s="526"/>
      <c r="AF890" s="526"/>
      <c r="AG890" s="526"/>
      <c r="AH890" s="526"/>
      <c r="AI890" s="526"/>
      <c r="AJ890" s="526"/>
      <c r="AK890" s="526"/>
      <c r="AL890" s="526"/>
      <c r="AM890" s="526"/>
      <c r="AN890" s="526"/>
      <c r="AO890" s="526"/>
      <c r="AP890" s="526"/>
      <c r="AQ890" s="526"/>
      <c r="AR890" s="526"/>
      <c r="AS890" s="526"/>
      <c r="AT890" s="526"/>
      <c r="AU890" s="526"/>
      <c r="AV890" s="526"/>
      <c r="AW890" s="526"/>
      <c r="AX890" s="526"/>
      <c r="AY890" s="526"/>
      <c r="AZ890" s="526"/>
      <c r="BA890" s="526"/>
      <c r="BB890" s="526"/>
      <c r="BC890" s="526"/>
      <c r="BD890" s="526"/>
      <c r="BE890" s="526"/>
      <c r="BF890" s="526"/>
      <c r="BG890" s="526"/>
    </row>
    <row r="891" spans="1:59" s="830" customFormat="1" ht="17.25" customHeight="1" x14ac:dyDescent="0.25">
      <c r="A891" s="865"/>
      <c r="B891" s="865"/>
      <c r="C891" s="908"/>
      <c r="G891" s="865"/>
      <c r="H891" s="874"/>
      <c r="I891" s="869"/>
      <c r="J891" s="869"/>
      <c r="K891" s="869"/>
      <c r="L891" s="869"/>
      <c r="M891" s="874"/>
      <c r="O891" s="874"/>
      <c r="P891" s="874"/>
      <c r="Q891" s="874"/>
      <c r="R891" s="874"/>
      <c r="S891" s="874"/>
      <c r="T891" s="874"/>
      <c r="W891" s="874"/>
      <c r="X891" s="874"/>
      <c r="Y891" s="874"/>
      <c r="Z891" s="874"/>
      <c r="AA891" s="874"/>
      <c r="AD891" s="526"/>
      <c r="AE891" s="526"/>
      <c r="AF891" s="526"/>
      <c r="AG891" s="526"/>
      <c r="AH891" s="526"/>
      <c r="AI891" s="526"/>
      <c r="AJ891" s="526"/>
      <c r="AK891" s="526"/>
      <c r="AL891" s="526"/>
      <c r="AM891" s="526"/>
      <c r="AN891" s="526"/>
      <c r="AO891" s="526"/>
      <c r="AP891" s="526"/>
      <c r="AQ891" s="526"/>
      <c r="AR891" s="526"/>
      <c r="AS891" s="526"/>
      <c r="AT891" s="526"/>
      <c r="AU891" s="526"/>
      <c r="AV891" s="526"/>
      <c r="AW891" s="526"/>
      <c r="AX891" s="526"/>
      <c r="AY891" s="526"/>
      <c r="AZ891" s="526"/>
      <c r="BA891" s="526"/>
      <c r="BB891" s="526"/>
      <c r="BC891" s="526"/>
      <c r="BD891" s="526"/>
      <c r="BE891" s="526"/>
      <c r="BF891" s="526"/>
      <c r="BG891" s="526"/>
    </row>
    <row r="892" spans="1:59" s="830" customFormat="1" ht="17.25" customHeight="1" x14ac:dyDescent="0.25">
      <c r="A892" s="865"/>
      <c r="B892" s="865"/>
      <c r="C892" s="908"/>
      <c r="G892" s="865"/>
      <c r="H892" s="874"/>
      <c r="I892" s="869"/>
      <c r="J892" s="869"/>
      <c r="K892" s="869"/>
      <c r="L892" s="869"/>
      <c r="M892" s="874"/>
      <c r="O892" s="874"/>
      <c r="P892" s="874"/>
      <c r="Q892" s="874"/>
      <c r="R892" s="874"/>
      <c r="S892" s="874"/>
      <c r="T892" s="874"/>
      <c r="W892" s="874"/>
      <c r="X892" s="874"/>
      <c r="Y892" s="874"/>
      <c r="Z892" s="874"/>
      <c r="AA892" s="874"/>
      <c r="AD892" s="526"/>
      <c r="AE892" s="526"/>
      <c r="AF892" s="526"/>
      <c r="AG892" s="526"/>
      <c r="AH892" s="526"/>
      <c r="AI892" s="526"/>
      <c r="AJ892" s="526"/>
      <c r="AK892" s="526"/>
      <c r="AL892" s="526"/>
      <c r="AM892" s="526"/>
      <c r="AN892" s="526"/>
      <c r="AO892" s="526"/>
      <c r="AP892" s="526"/>
      <c r="AQ892" s="526"/>
      <c r="AR892" s="526"/>
      <c r="AS892" s="526"/>
      <c r="AT892" s="526"/>
      <c r="AU892" s="526"/>
      <c r="AV892" s="526"/>
      <c r="AW892" s="526"/>
      <c r="AX892" s="526"/>
      <c r="AY892" s="526"/>
      <c r="AZ892" s="526"/>
      <c r="BA892" s="526"/>
      <c r="BB892" s="526"/>
      <c r="BC892" s="526"/>
      <c r="BD892" s="526"/>
      <c r="BE892" s="526"/>
      <c r="BF892" s="526"/>
      <c r="BG892" s="526"/>
    </row>
    <row r="893" spans="1:59" s="830" customFormat="1" ht="17.25" customHeight="1" x14ac:dyDescent="0.25">
      <c r="A893" s="865"/>
      <c r="B893" s="865"/>
      <c r="C893" s="908"/>
      <c r="G893" s="865"/>
      <c r="H893" s="874"/>
      <c r="I893" s="869"/>
      <c r="J893" s="869"/>
      <c r="K893" s="869"/>
      <c r="L893" s="869"/>
      <c r="M893" s="874"/>
      <c r="O893" s="874"/>
      <c r="P893" s="874"/>
      <c r="Q893" s="874"/>
      <c r="R893" s="874"/>
      <c r="S893" s="874"/>
      <c r="T893" s="874"/>
      <c r="W893" s="874"/>
      <c r="X893" s="874"/>
      <c r="Y893" s="874"/>
      <c r="Z893" s="874"/>
      <c r="AA893" s="874"/>
      <c r="AD893" s="526"/>
      <c r="AE893" s="526"/>
      <c r="AF893" s="526"/>
      <c r="AG893" s="526"/>
      <c r="AH893" s="526"/>
      <c r="AI893" s="526"/>
      <c r="AJ893" s="526"/>
      <c r="AK893" s="526"/>
      <c r="AL893" s="526"/>
      <c r="AM893" s="526"/>
      <c r="AN893" s="526"/>
      <c r="AO893" s="526"/>
      <c r="AP893" s="526"/>
      <c r="AQ893" s="526"/>
      <c r="AR893" s="526"/>
      <c r="AS893" s="526"/>
      <c r="AT893" s="526"/>
      <c r="AU893" s="526"/>
      <c r="AV893" s="526"/>
      <c r="AW893" s="526"/>
      <c r="AX893" s="526"/>
      <c r="AY893" s="526"/>
      <c r="AZ893" s="526"/>
      <c r="BA893" s="526"/>
      <c r="BB893" s="526"/>
      <c r="BC893" s="526"/>
      <c r="BD893" s="526"/>
      <c r="BE893" s="526"/>
      <c r="BF893" s="526"/>
      <c r="BG893" s="526"/>
    </row>
    <row r="894" spans="1:59" s="830" customFormat="1" ht="17.25" customHeight="1" x14ac:dyDescent="0.25">
      <c r="A894" s="865"/>
      <c r="B894" s="865"/>
      <c r="C894" s="908"/>
      <c r="G894" s="865"/>
      <c r="H894" s="874"/>
      <c r="I894" s="869"/>
      <c r="J894" s="869"/>
      <c r="K894" s="869"/>
      <c r="L894" s="869"/>
      <c r="M894" s="874"/>
      <c r="O894" s="874"/>
      <c r="P894" s="874"/>
      <c r="Q894" s="874"/>
      <c r="R894" s="874"/>
      <c r="S894" s="874"/>
      <c r="T894" s="874"/>
      <c r="W894" s="874"/>
      <c r="X894" s="874"/>
      <c r="Y894" s="874"/>
      <c r="Z894" s="874"/>
      <c r="AA894" s="874"/>
      <c r="AD894" s="526"/>
      <c r="AE894" s="526"/>
      <c r="AF894" s="526"/>
      <c r="AG894" s="526"/>
      <c r="AH894" s="526"/>
      <c r="AI894" s="526"/>
      <c r="AJ894" s="526"/>
      <c r="AK894" s="526"/>
      <c r="AL894" s="526"/>
      <c r="AM894" s="526"/>
      <c r="AN894" s="526"/>
      <c r="AO894" s="526"/>
      <c r="AP894" s="526"/>
      <c r="AQ894" s="526"/>
      <c r="AR894" s="526"/>
      <c r="AS894" s="526"/>
      <c r="AT894" s="526"/>
      <c r="AU894" s="526"/>
      <c r="AV894" s="526"/>
      <c r="AW894" s="526"/>
      <c r="AX894" s="526"/>
      <c r="AY894" s="526"/>
      <c r="AZ894" s="526"/>
      <c r="BA894" s="526"/>
      <c r="BB894" s="526"/>
      <c r="BC894" s="526"/>
      <c r="BD894" s="526"/>
      <c r="BE894" s="526"/>
      <c r="BF894" s="526"/>
      <c r="BG894" s="526"/>
    </row>
    <row r="895" spans="1:59" s="830" customFormat="1" ht="17.25" customHeight="1" x14ac:dyDescent="0.25">
      <c r="A895" s="865"/>
      <c r="B895" s="865"/>
      <c r="C895" s="908"/>
      <c r="G895" s="865"/>
      <c r="H895" s="874"/>
      <c r="I895" s="869"/>
      <c r="J895" s="869"/>
      <c r="K895" s="869"/>
      <c r="L895" s="869"/>
      <c r="M895" s="874"/>
      <c r="O895" s="874"/>
      <c r="P895" s="874"/>
      <c r="Q895" s="874"/>
      <c r="R895" s="874"/>
      <c r="S895" s="874"/>
      <c r="T895" s="874"/>
      <c r="W895" s="874"/>
      <c r="X895" s="874"/>
      <c r="Y895" s="874"/>
      <c r="Z895" s="874"/>
      <c r="AA895" s="874"/>
      <c r="AD895" s="526"/>
      <c r="AE895" s="526"/>
      <c r="AF895" s="526"/>
      <c r="AG895" s="526"/>
      <c r="AH895" s="526"/>
      <c r="AI895" s="526"/>
      <c r="AJ895" s="526"/>
      <c r="AK895" s="526"/>
      <c r="AL895" s="526"/>
      <c r="AM895" s="526"/>
      <c r="AN895" s="526"/>
      <c r="AO895" s="526"/>
      <c r="AP895" s="526"/>
      <c r="AQ895" s="526"/>
      <c r="AR895" s="526"/>
      <c r="AS895" s="526"/>
      <c r="AT895" s="526"/>
      <c r="AU895" s="526"/>
      <c r="AV895" s="526"/>
      <c r="AW895" s="526"/>
      <c r="AX895" s="526"/>
      <c r="AY895" s="526"/>
      <c r="AZ895" s="526"/>
      <c r="BA895" s="526"/>
      <c r="BB895" s="526"/>
      <c r="BC895" s="526"/>
      <c r="BD895" s="526"/>
      <c r="BE895" s="526"/>
      <c r="BF895" s="526"/>
      <c r="BG895" s="526"/>
    </row>
    <row r="896" spans="1:59" s="830" customFormat="1" ht="17.25" customHeight="1" x14ac:dyDescent="0.25">
      <c r="A896" s="865"/>
      <c r="B896" s="865"/>
      <c r="C896" s="908"/>
      <c r="G896" s="865"/>
      <c r="H896" s="874"/>
      <c r="I896" s="869"/>
      <c r="J896" s="869"/>
      <c r="K896" s="869"/>
      <c r="L896" s="869"/>
      <c r="M896" s="874"/>
      <c r="O896" s="874"/>
      <c r="P896" s="874"/>
      <c r="Q896" s="874"/>
      <c r="R896" s="874"/>
      <c r="S896" s="874"/>
      <c r="T896" s="874"/>
      <c r="W896" s="874"/>
      <c r="X896" s="874"/>
      <c r="Y896" s="874"/>
      <c r="Z896" s="874"/>
      <c r="AA896" s="874"/>
      <c r="AD896" s="526"/>
      <c r="AE896" s="526"/>
      <c r="AF896" s="526"/>
      <c r="AG896" s="526"/>
      <c r="AH896" s="526"/>
      <c r="AI896" s="526"/>
      <c r="AJ896" s="526"/>
      <c r="AK896" s="526"/>
      <c r="AL896" s="526"/>
      <c r="AM896" s="526"/>
      <c r="AN896" s="526"/>
      <c r="AO896" s="526"/>
      <c r="AP896" s="526"/>
      <c r="AQ896" s="526"/>
      <c r="AR896" s="526"/>
      <c r="AS896" s="526"/>
      <c r="AT896" s="526"/>
      <c r="AU896" s="526"/>
      <c r="AV896" s="526"/>
      <c r="AW896" s="526"/>
      <c r="AX896" s="526"/>
      <c r="AY896" s="526"/>
      <c r="AZ896" s="526"/>
      <c r="BA896" s="526"/>
      <c r="BB896" s="526"/>
      <c r="BC896" s="526"/>
      <c r="BD896" s="526"/>
      <c r="BE896" s="526"/>
      <c r="BF896" s="526"/>
      <c r="BG896" s="526"/>
    </row>
    <row r="897" spans="1:59" s="830" customFormat="1" ht="17.25" customHeight="1" x14ac:dyDescent="0.25">
      <c r="A897" s="865"/>
      <c r="B897" s="865"/>
      <c r="C897" s="908"/>
      <c r="G897" s="865"/>
      <c r="H897" s="874"/>
      <c r="I897" s="869"/>
      <c r="J897" s="869"/>
      <c r="K897" s="869"/>
      <c r="L897" s="869"/>
      <c r="M897" s="874"/>
      <c r="O897" s="874"/>
      <c r="P897" s="874"/>
      <c r="Q897" s="874"/>
      <c r="R897" s="874"/>
      <c r="S897" s="874"/>
      <c r="T897" s="874"/>
      <c r="W897" s="874"/>
      <c r="X897" s="874"/>
      <c r="Y897" s="874"/>
      <c r="Z897" s="874"/>
      <c r="AA897" s="874"/>
      <c r="AD897" s="526"/>
      <c r="AE897" s="526"/>
      <c r="AF897" s="526"/>
      <c r="AG897" s="526"/>
      <c r="AH897" s="526"/>
      <c r="AI897" s="526"/>
      <c r="AJ897" s="526"/>
      <c r="AK897" s="526"/>
      <c r="AL897" s="526"/>
      <c r="AM897" s="526"/>
      <c r="AN897" s="526"/>
      <c r="AO897" s="526"/>
      <c r="AP897" s="526"/>
      <c r="AQ897" s="526"/>
      <c r="AR897" s="526"/>
      <c r="AS897" s="526"/>
      <c r="AT897" s="526"/>
      <c r="AU897" s="526"/>
      <c r="AV897" s="526"/>
      <c r="AW897" s="526"/>
      <c r="AX897" s="526"/>
      <c r="AY897" s="526"/>
      <c r="AZ897" s="526"/>
      <c r="BA897" s="526"/>
      <c r="BB897" s="526"/>
      <c r="BC897" s="526"/>
      <c r="BD897" s="526"/>
      <c r="BE897" s="526"/>
      <c r="BF897" s="526"/>
      <c r="BG897" s="526"/>
    </row>
    <row r="898" spans="1:59" s="830" customFormat="1" ht="17.25" customHeight="1" x14ac:dyDescent="0.25">
      <c r="A898" s="865"/>
      <c r="B898" s="865"/>
      <c r="C898" s="908"/>
      <c r="G898" s="865"/>
      <c r="H898" s="874"/>
      <c r="I898" s="869"/>
      <c r="J898" s="869"/>
      <c r="K898" s="869"/>
      <c r="L898" s="869"/>
      <c r="M898" s="874"/>
      <c r="O898" s="874"/>
      <c r="P898" s="874"/>
      <c r="Q898" s="874"/>
      <c r="R898" s="874"/>
      <c r="S898" s="874"/>
      <c r="T898" s="874"/>
      <c r="W898" s="874"/>
      <c r="X898" s="874"/>
      <c r="Y898" s="874"/>
      <c r="Z898" s="874"/>
      <c r="AA898" s="874"/>
      <c r="AD898" s="526"/>
      <c r="AE898" s="526"/>
      <c r="AF898" s="526"/>
      <c r="AG898" s="526"/>
      <c r="AH898" s="526"/>
      <c r="AI898" s="526"/>
      <c r="AJ898" s="526"/>
      <c r="AK898" s="526"/>
      <c r="AL898" s="526"/>
      <c r="AM898" s="526"/>
      <c r="AN898" s="526"/>
      <c r="AO898" s="526"/>
      <c r="AP898" s="526"/>
      <c r="AQ898" s="526"/>
      <c r="AR898" s="526"/>
      <c r="AS898" s="526"/>
      <c r="AT898" s="526"/>
      <c r="AU898" s="526"/>
      <c r="AV898" s="526"/>
      <c r="AW898" s="526"/>
      <c r="AX898" s="526"/>
      <c r="AY898" s="526"/>
      <c r="AZ898" s="526"/>
      <c r="BA898" s="526"/>
      <c r="BB898" s="526"/>
      <c r="BC898" s="526"/>
      <c r="BD898" s="526"/>
      <c r="BE898" s="526"/>
      <c r="BF898" s="526"/>
      <c r="BG898" s="526"/>
    </row>
    <row r="899" spans="1:59" s="830" customFormat="1" ht="17.25" customHeight="1" x14ac:dyDescent="0.25">
      <c r="A899" s="865"/>
      <c r="B899" s="865"/>
      <c r="C899" s="908"/>
      <c r="G899" s="865"/>
      <c r="H899" s="874"/>
      <c r="I899" s="869"/>
      <c r="J899" s="869"/>
      <c r="K899" s="869"/>
      <c r="L899" s="869"/>
      <c r="M899" s="874"/>
      <c r="O899" s="874"/>
      <c r="P899" s="874"/>
      <c r="Q899" s="874"/>
      <c r="R899" s="874"/>
      <c r="S899" s="874"/>
      <c r="T899" s="874"/>
      <c r="W899" s="874"/>
      <c r="X899" s="874"/>
      <c r="Y899" s="874"/>
      <c r="Z899" s="874"/>
      <c r="AA899" s="874"/>
      <c r="AD899" s="526"/>
      <c r="AE899" s="526"/>
      <c r="AF899" s="526"/>
      <c r="AG899" s="526"/>
      <c r="AH899" s="526"/>
      <c r="AI899" s="526"/>
      <c r="AJ899" s="526"/>
      <c r="AK899" s="526"/>
      <c r="AL899" s="526"/>
      <c r="AM899" s="526"/>
      <c r="AN899" s="526"/>
      <c r="AO899" s="526"/>
      <c r="AP899" s="526"/>
      <c r="AQ899" s="526"/>
      <c r="AR899" s="526"/>
      <c r="AS899" s="526"/>
      <c r="AT899" s="526"/>
      <c r="AU899" s="526"/>
      <c r="AV899" s="526"/>
      <c r="AW899" s="526"/>
      <c r="AX899" s="526"/>
      <c r="AY899" s="526"/>
      <c r="AZ899" s="526"/>
      <c r="BA899" s="526"/>
      <c r="BB899" s="526"/>
      <c r="BC899" s="526"/>
      <c r="BD899" s="526"/>
      <c r="BE899" s="526"/>
      <c r="BF899" s="526"/>
      <c r="BG899" s="526"/>
    </row>
    <row r="900" spans="1:59" s="830" customFormat="1" ht="17.25" customHeight="1" x14ac:dyDescent="0.25">
      <c r="A900" s="865"/>
      <c r="B900" s="865"/>
      <c r="C900" s="908"/>
      <c r="G900" s="865"/>
      <c r="H900" s="874"/>
      <c r="I900" s="869"/>
      <c r="J900" s="869"/>
      <c r="K900" s="869"/>
      <c r="L900" s="869"/>
      <c r="M900" s="874"/>
      <c r="O900" s="874"/>
      <c r="P900" s="874"/>
      <c r="Q900" s="874"/>
      <c r="R900" s="874"/>
      <c r="S900" s="874"/>
      <c r="T900" s="874"/>
      <c r="W900" s="874"/>
      <c r="X900" s="874"/>
      <c r="Y900" s="874"/>
      <c r="Z900" s="874"/>
      <c r="AA900" s="874"/>
      <c r="AD900" s="526"/>
      <c r="AE900" s="526"/>
      <c r="AF900" s="526"/>
      <c r="AG900" s="526"/>
      <c r="AH900" s="526"/>
      <c r="AI900" s="526"/>
      <c r="AJ900" s="526"/>
      <c r="AK900" s="526"/>
      <c r="AL900" s="526"/>
      <c r="AM900" s="526"/>
      <c r="AN900" s="526"/>
      <c r="AO900" s="526"/>
      <c r="AP900" s="526"/>
      <c r="AQ900" s="526"/>
      <c r="AR900" s="526"/>
      <c r="AS900" s="526"/>
      <c r="AT900" s="526"/>
      <c r="AU900" s="526"/>
      <c r="AV900" s="526"/>
      <c r="AW900" s="526"/>
      <c r="AX900" s="526"/>
      <c r="AY900" s="526"/>
      <c r="AZ900" s="526"/>
      <c r="BA900" s="526"/>
      <c r="BB900" s="526"/>
      <c r="BC900" s="526"/>
      <c r="BD900" s="526"/>
      <c r="BE900" s="526"/>
      <c r="BF900" s="526"/>
      <c r="BG900" s="526"/>
    </row>
    <row r="901" spans="1:59" s="830" customFormat="1" ht="17.25" customHeight="1" x14ac:dyDescent="0.25">
      <c r="A901" s="865"/>
      <c r="B901" s="865"/>
      <c r="C901" s="908"/>
      <c r="G901" s="865"/>
      <c r="H901" s="874"/>
      <c r="I901" s="869"/>
      <c r="J901" s="869"/>
      <c r="K901" s="869"/>
      <c r="L901" s="869"/>
      <c r="M901" s="874"/>
      <c r="O901" s="874"/>
      <c r="P901" s="874"/>
      <c r="Q901" s="874"/>
      <c r="R901" s="874"/>
      <c r="S901" s="874"/>
      <c r="T901" s="874"/>
      <c r="W901" s="874"/>
      <c r="X901" s="874"/>
      <c r="Y901" s="874"/>
      <c r="Z901" s="874"/>
      <c r="AA901" s="874"/>
      <c r="AD901" s="526"/>
      <c r="AE901" s="526"/>
      <c r="AF901" s="526"/>
      <c r="AG901" s="526"/>
      <c r="AH901" s="526"/>
      <c r="AI901" s="526"/>
      <c r="AJ901" s="526"/>
      <c r="AK901" s="526"/>
      <c r="AL901" s="526"/>
      <c r="AM901" s="526"/>
      <c r="AN901" s="526"/>
      <c r="AO901" s="526"/>
      <c r="AP901" s="526"/>
      <c r="AQ901" s="526"/>
      <c r="AR901" s="526"/>
      <c r="AS901" s="526"/>
      <c r="AT901" s="526"/>
      <c r="AU901" s="526"/>
      <c r="AV901" s="526"/>
      <c r="AW901" s="526"/>
      <c r="AX901" s="526"/>
      <c r="AY901" s="526"/>
      <c r="AZ901" s="526"/>
      <c r="BA901" s="526"/>
      <c r="BB901" s="526"/>
      <c r="BC901" s="526"/>
      <c r="BD901" s="526"/>
      <c r="BE901" s="526"/>
      <c r="BF901" s="526"/>
      <c r="BG901" s="526"/>
    </row>
    <row r="902" spans="1:59" s="830" customFormat="1" ht="17.25" customHeight="1" x14ac:dyDescent="0.25">
      <c r="A902" s="865"/>
      <c r="B902" s="865"/>
      <c r="C902" s="908"/>
      <c r="G902" s="865"/>
      <c r="H902" s="874"/>
      <c r="I902" s="869"/>
      <c r="J902" s="869"/>
      <c r="K902" s="869"/>
      <c r="L902" s="869"/>
      <c r="M902" s="874"/>
      <c r="O902" s="874"/>
      <c r="P902" s="874"/>
      <c r="Q902" s="874"/>
      <c r="R902" s="874"/>
      <c r="S902" s="874"/>
      <c r="T902" s="874"/>
      <c r="W902" s="874"/>
      <c r="X902" s="874"/>
      <c r="Y902" s="874"/>
      <c r="Z902" s="874"/>
      <c r="AA902" s="874"/>
      <c r="AD902" s="526"/>
      <c r="AE902" s="526"/>
      <c r="AF902" s="526"/>
      <c r="AG902" s="526"/>
      <c r="AH902" s="526"/>
      <c r="AI902" s="526"/>
      <c r="AJ902" s="526"/>
      <c r="AK902" s="526"/>
      <c r="AL902" s="526"/>
      <c r="AM902" s="526"/>
      <c r="AN902" s="526"/>
      <c r="AO902" s="526"/>
      <c r="AP902" s="526"/>
      <c r="AQ902" s="526"/>
      <c r="AR902" s="526"/>
      <c r="AS902" s="526"/>
      <c r="AT902" s="526"/>
      <c r="AU902" s="526"/>
      <c r="AV902" s="526"/>
      <c r="AW902" s="526"/>
      <c r="AX902" s="526"/>
      <c r="AY902" s="526"/>
      <c r="AZ902" s="526"/>
      <c r="BA902" s="526"/>
      <c r="BB902" s="526"/>
      <c r="BC902" s="526"/>
      <c r="BD902" s="526"/>
      <c r="BE902" s="526"/>
      <c r="BF902" s="526"/>
      <c r="BG902" s="526"/>
    </row>
    <row r="903" spans="1:59" s="830" customFormat="1" ht="17.25" customHeight="1" x14ac:dyDescent="0.25">
      <c r="A903" s="865"/>
      <c r="B903" s="865"/>
      <c r="C903" s="908"/>
      <c r="G903" s="865"/>
      <c r="H903" s="874"/>
      <c r="I903" s="869"/>
      <c r="J903" s="869"/>
      <c r="K903" s="869"/>
      <c r="L903" s="869"/>
      <c r="M903" s="874"/>
      <c r="O903" s="874"/>
      <c r="P903" s="874"/>
      <c r="Q903" s="874"/>
      <c r="R903" s="874"/>
      <c r="S903" s="874"/>
      <c r="T903" s="874"/>
      <c r="W903" s="874"/>
      <c r="X903" s="874"/>
      <c r="Y903" s="874"/>
      <c r="Z903" s="874"/>
      <c r="AA903" s="874"/>
      <c r="AD903" s="526"/>
      <c r="AE903" s="526"/>
      <c r="AF903" s="526"/>
      <c r="AG903" s="526"/>
      <c r="AH903" s="526"/>
      <c r="AI903" s="526"/>
      <c r="AJ903" s="526"/>
      <c r="AK903" s="526"/>
      <c r="AL903" s="526"/>
      <c r="AM903" s="526"/>
      <c r="AN903" s="526"/>
      <c r="AO903" s="526"/>
      <c r="AP903" s="526"/>
      <c r="AQ903" s="526"/>
      <c r="AR903" s="526"/>
      <c r="AS903" s="526"/>
      <c r="AT903" s="526"/>
      <c r="AU903" s="526"/>
      <c r="AV903" s="526"/>
      <c r="AW903" s="526"/>
      <c r="AX903" s="526"/>
      <c r="AY903" s="526"/>
      <c r="AZ903" s="526"/>
      <c r="BA903" s="526"/>
      <c r="BB903" s="526"/>
      <c r="BC903" s="526"/>
      <c r="BD903" s="526"/>
      <c r="BE903" s="526"/>
      <c r="BF903" s="526"/>
      <c r="BG903" s="526"/>
    </row>
    <row r="904" spans="1:59" s="830" customFormat="1" ht="17.25" customHeight="1" x14ac:dyDescent="0.25">
      <c r="A904" s="865"/>
      <c r="B904" s="865"/>
      <c r="C904" s="908"/>
      <c r="G904" s="865"/>
      <c r="H904" s="874"/>
      <c r="I904" s="869"/>
      <c r="J904" s="869"/>
      <c r="K904" s="869"/>
      <c r="L904" s="869"/>
      <c r="M904" s="874"/>
      <c r="O904" s="874"/>
      <c r="P904" s="874"/>
      <c r="Q904" s="874"/>
      <c r="R904" s="874"/>
      <c r="S904" s="874"/>
      <c r="T904" s="874"/>
      <c r="W904" s="874"/>
      <c r="X904" s="874"/>
      <c r="Y904" s="874"/>
      <c r="Z904" s="874"/>
      <c r="AA904" s="874"/>
      <c r="AD904" s="526"/>
      <c r="AE904" s="526"/>
      <c r="AF904" s="526"/>
      <c r="AG904" s="526"/>
      <c r="AH904" s="526"/>
      <c r="AI904" s="526"/>
      <c r="AJ904" s="526"/>
      <c r="AK904" s="526"/>
      <c r="AL904" s="526"/>
      <c r="AM904" s="526"/>
      <c r="AN904" s="526"/>
      <c r="AO904" s="526"/>
      <c r="AP904" s="526"/>
      <c r="AQ904" s="526"/>
      <c r="AR904" s="526"/>
      <c r="AS904" s="526"/>
      <c r="AT904" s="526"/>
      <c r="AU904" s="526"/>
      <c r="AV904" s="526"/>
      <c r="AW904" s="526"/>
      <c r="AX904" s="526"/>
      <c r="AY904" s="526"/>
      <c r="AZ904" s="526"/>
      <c r="BA904" s="526"/>
      <c r="BB904" s="526"/>
      <c r="BC904" s="526"/>
      <c r="BD904" s="526"/>
      <c r="BE904" s="526"/>
      <c r="BF904" s="526"/>
      <c r="BG904" s="526"/>
    </row>
    <row r="905" spans="1:59" s="830" customFormat="1" ht="17.25" customHeight="1" x14ac:dyDescent="0.25">
      <c r="A905" s="865"/>
      <c r="B905" s="865"/>
      <c r="C905" s="908"/>
      <c r="G905" s="865"/>
      <c r="H905" s="874"/>
      <c r="I905" s="869"/>
      <c r="J905" s="869"/>
      <c r="K905" s="869"/>
      <c r="L905" s="869"/>
      <c r="M905" s="874"/>
      <c r="O905" s="874"/>
      <c r="P905" s="874"/>
      <c r="Q905" s="874"/>
      <c r="R905" s="874"/>
      <c r="S905" s="874"/>
      <c r="T905" s="874"/>
      <c r="W905" s="874"/>
      <c r="X905" s="874"/>
      <c r="Y905" s="874"/>
      <c r="Z905" s="874"/>
      <c r="AA905" s="874"/>
      <c r="AD905" s="526"/>
      <c r="AE905" s="526"/>
      <c r="AF905" s="526"/>
      <c r="AG905" s="526"/>
      <c r="AH905" s="526"/>
      <c r="AI905" s="526"/>
      <c r="AJ905" s="526"/>
      <c r="AK905" s="526"/>
      <c r="AL905" s="526"/>
      <c r="AM905" s="526"/>
      <c r="AN905" s="526"/>
      <c r="AO905" s="526"/>
      <c r="AP905" s="526"/>
      <c r="AQ905" s="526"/>
      <c r="AR905" s="526"/>
      <c r="AS905" s="526"/>
      <c r="AT905" s="526"/>
      <c r="AU905" s="526"/>
      <c r="AV905" s="526"/>
      <c r="AW905" s="526"/>
      <c r="AX905" s="526"/>
      <c r="AY905" s="526"/>
      <c r="AZ905" s="526"/>
      <c r="BA905" s="526"/>
      <c r="BB905" s="526"/>
      <c r="BC905" s="526"/>
      <c r="BD905" s="526"/>
      <c r="BE905" s="526"/>
      <c r="BF905" s="526"/>
      <c r="BG905" s="526"/>
    </row>
    <row r="906" spans="1:59" s="830" customFormat="1" ht="17.25" customHeight="1" x14ac:dyDescent="0.25">
      <c r="A906" s="865"/>
      <c r="B906" s="865"/>
      <c r="C906" s="908"/>
      <c r="G906" s="865"/>
      <c r="H906" s="874"/>
      <c r="I906" s="869"/>
      <c r="J906" s="869"/>
      <c r="K906" s="869"/>
      <c r="L906" s="869"/>
      <c r="M906" s="874"/>
      <c r="O906" s="874"/>
      <c r="P906" s="874"/>
      <c r="Q906" s="874"/>
      <c r="R906" s="874"/>
      <c r="S906" s="874"/>
      <c r="T906" s="874"/>
      <c r="W906" s="874"/>
      <c r="X906" s="874"/>
      <c r="Y906" s="874"/>
      <c r="Z906" s="874"/>
      <c r="AA906" s="874"/>
      <c r="AD906" s="526"/>
      <c r="AE906" s="526"/>
      <c r="AF906" s="526"/>
      <c r="AG906" s="526"/>
      <c r="AH906" s="526"/>
      <c r="AI906" s="526"/>
      <c r="AJ906" s="526"/>
      <c r="AK906" s="526"/>
      <c r="AL906" s="526"/>
      <c r="AM906" s="526"/>
      <c r="AN906" s="526"/>
      <c r="AO906" s="526"/>
      <c r="AP906" s="526"/>
      <c r="AQ906" s="526"/>
      <c r="AR906" s="526"/>
      <c r="AS906" s="526"/>
      <c r="AT906" s="526"/>
      <c r="AU906" s="526"/>
      <c r="AV906" s="526"/>
      <c r="AW906" s="526"/>
      <c r="AX906" s="526"/>
      <c r="AY906" s="526"/>
      <c r="AZ906" s="526"/>
      <c r="BA906" s="526"/>
      <c r="BB906" s="526"/>
      <c r="BC906" s="526"/>
      <c r="BD906" s="526"/>
      <c r="BE906" s="526"/>
      <c r="BF906" s="526"/>
      <c r="BG906" s="526"/>
    </row>
    <row r="907" spans="1:59" s="830" customFormat="1" ht="17.25" customHeight="1" x14ac:dyDescent="0.25">
      <c r="A907" s="865"/>
      <c r="B907" s="865"/>
      <c r="C907" s="908"/>
      <c r="G907" s="865"/>
      <c r="H907" s="874"/>
      <c r="I907" s="869"/>
      <c r="J907" s="869"/>
      <c r="K907" s="869"/>
      <c r="L907" s="869"/>
      <c r="M907" s="874"/>
      <c r="O907" s="874"/>
      <c r="P907" s="874"/>
      <c r="Q907" s="874"/>
      <c r="R907" s="874"/>
      <c r="S907" s="874"/>
      <c r="T907" s="874"/>
      <c r="W907" s="874"/>
      <c r="X907" s="874"/>
      <c r="Y907" s="874"/>
      <c r="Z907" s="874"/>
      <c r="AA907" s="874"/>
      <c r="AD907" s="526"/>
      <c r="AE907" s="526"/>
      <c r="AF907" s="526"/>
      <c r="AG907" s="526"/>
      <c r="AH907" s="526"/>
      <c r="AI907" s="526"/>
      <c r="AJ907" s="526"/>
      <c r="AK907" s="526"/>
      <c r="AL907" s="526"/>
      <c r="AM907" s="526"/>
      <c r="AN907" s="526"/>
      <c r="AO907" s="526"/>
      <c r="AP907" s="526"/>
      <c r="AQ907" s="526"/>
      <c r="AR907" s="526"/>
      <c r="AS907" s="526"/>
      <c r="AT907" s="526"/>
      <c r="AU907" s="526"/>
      <c r="AV907" s="526"/>
      <c r="AW907" s="526"/>
      <c r="AX907" s="526"/>
      <c r="AY907" s="526"/>
      <c r="AZ907" s="526"/>
      <c r="BA907" s="526"/>
      <c r="BB907" s="526"/>
      <c r="BC907" s="526"/>
      <c r="BD907" s="526"/>
      <c r="BE907" s="526"/>
      <c r="BF907" s="526"/>
      <c r="BG907" s="526"/>
    </row>
    <row r="908" spans="1:59" s="830" customFormat="1" ht="17.25" customHeight="1" x14ac:dyDescent="0.25">
      <c r="A908" s="865"/>
      <c r="B908" s="865"/>
      <c r="C908" s="908"/>
      <c r="G908" s="865"/>
      <c r="H908" s="874"/>
      <c r="I908" s="869"/>
      <c r="J908" s="869"/>
      <c r="K908" s="869"/>
      <c r="L908" s="869"/>
      <c r="M908" s="874"/>
      <c r="O908" s="874"/>
      <c r="P908" s="874"/>
      <c r="Q908" s="874"/>
      <c r="R908" s="874"/>
      <c r="S908" s="874"/>
      <c r="T908" s="874"/>
      <c r="W908" s="874"/>
      <c r="X908" s="874"/>
      <c r="Y908" s="874"/>
      <c r="Z908" s="874"/>
      <c r="AA908" s="874"/>
      <c r="AD908" s="526"/>
      <c r="AE908" s="526"/>
      <c r="AF908" s="526"/>
      <c r="AG908" s="526"/>
      <c r="AH908" s="526"/>
      <c r="AI908" s="526"/>
      <c r="AJ908" s="526"/>
      <c r="AK908" s="526"/>
      <c r="AL908" s="526"/>
      <c r="AM908" s="526"/>
      <c r="AN908" s="526"/>
      <c r="AO908" s="526"/>
      <c r="AP908" s="526"/>
      <c r="AQ908" s="526"/>
      <c r="AR908" s="526"/>
      <c r="AS908" s="526"/>
      <c r="AT908" s="526"/>
      <c r="AU908" s="526"/>
      <c r="AV908" s="526"/>
      <c r="AW908" s="526"/>
      <c r="AX908" s="526"/>
      <c r="AY908" s="526"/>
      <c r="AZ908" s="526"/>
      <c r="BA908" s="526"/>
      <c r="BB908" s="526"/>
      <c r="BC908" s="526"/>
      <c r="BD908" s="526"/>
      <c r="BE908" s="526"/>
      <c r="BF908" s="526"/>
      <c r="BG908" s="526"/>
    </row>
    <row r="909" spans="1:59" s="830" customFormat="1" ht="17.25" customHeight="1" x14ac:dyDescent="0.25">
      <c r="A909" s="865"/>
      <c r="B909" s="865"/>
      <c r="C909" s="908"/>
      <c r="G909" s="865"/>
      <c r="H909" s="874"/>
      <c r="I909" s="869"/>
      <c r="J909" s="869"/>
      <c r="K909" s="869"/>
      <c r="L909" s="869"/>
      <c r="M909" s="874"/>
      <c r="O909" s="874"/>
      <c r="P909" s="874"/>
      <c r="Q909" s="874"/>
      <c r="R909" s="874"/>
      <c r="S909" s="874"/>
      <c r="T909" s="874"/>
      <c r="W909" s="874"/>
      <c r="X909" s="874"/>
      <c r="Y909" s="874"/>
      <c r="Z909" s="874"/>
      <c r="AA909" s="874"/>
      <c r="AD909" s="526"/>
      <c r="AE909" s="526"/>
      <c r="AF909" s="526"/>
      <c r="AG909" s="526"/>
      <c r="AH909" s="526"/>
      <c r="AI909" s="526"/>
      <c r="AJ909" s="526"/>
      <c r="AK909" s="526"/>
      <c r="AL909" s="526"/>
      <c r="AM909" s="526"/>
      <c r="AN909" s="526"/>
      <c r="AO909" s="526"/>
      <c r="AP909" s="526"/>
      <c r="AQ909" s="526"/>
      <c r="AR909" s="526"/>
      <c r="AS909" s="526"/>
      <c r="AT909" s="526"/>
      <c r="AU909" s="526"/>
      <c r="AV909" s="526"/>
      <c r="AW909" s="526"/>
      <c r="AX909" s="526"/>
      <c r="AY909" s="526"/>
      <c r="AZ909" s="526"/>
      <c r="BA909" s="526"/>
      <c r="BB909" s="526"/>
      <c r="BC909" s="526"/>
      <c r="BD909" s="526"/>
      <c r="BE909" s="526"/>
      <c r="BF909" s="526"/>
      <c r="BG909" s="526"/>
    </row>
    <row r="910" spans="1:59" s="830" customFormat="1" ht="17.25" customHeight="1" x14ac:dyDescent="0.25">
      <c r="A910" s="865"/>
      <c r="B910" s="865"/>
      <c r="C910" s="908"/>
      <c r="G910" s="865"/>
      <c r="H910" s="874"/>
      <c r="I910" s="869"/>
      <c r="J910" s="869"/>
      <c r="K910" s="869"/>
      <c r="L910" s="869"/>
      <c r="M910" s="874"/>
      <c r="O910" s="874"/>
      <c r="P910" s="874"/>
      <c r="Q910" s="874"/>
      <c r="R910" s="874"/>
      <c r="S910" s="874"/>
      <c r="T910" s="874"/>
      <c r="W910" s="874"/>
      <c r="X910" s="874"/>
      <c r="Y910" s="874"/>
      <c r="Z910" s="874"/>
      <c r="AA910" s="874"/>
      <c r="AD910" s="526"/>
      <c r="AE910" s="526"/>
      <c r="AF910" s="526"/>
      <c r="AG910" s="526"/>
      <c r="AH910" s="526"/>
      <c r="AI910" s="526"/>
      <c r="AJ910" s="526"/>
      <c r="AK910" s="526"/>
      <c r="AL910" s="526"/>
      <c r="AM910" s="526"/>
      <c r="AN910" s="526"/>
      <c r="AO910" s="526"/>
      <c r="AP910" s="526"/>
      <c r="AQ910" s="526"/>
      <c r="AR910" s="526"/>
      <c r="AS910" s="526"/>
      <c r="AT910" s="526"/>
      <c r="AU910" s="526"/>
      <c r="AV910" s="526"/>
      <c r="AW910" s="526"/>
      <c r="AX910" s="526"/>
      <c r="AY910" s="526"/>
      <c r="AZ910" s="526"/>
      <c r="BA910" s="526"/>
      <c r="BB910" s="526"/>
      <c r="BC910" s="526"/>
      <c r="BD910" s="526"/>
      <c r="BE910" s="526"/>
      <c r="BF910" s="526"/>
      <c r="BG910" s="526"/>
    </row>
    <row r="911" spans="1:59" s="830" customFormat="1" ht="17.25" customHeight="1" x14ac:dyDescent="0.25">
      <c r="A911" s="865"/>
      <c r="B911" s="865"/>
      <c r="C911" s="908"/>
      <c r="G911" s="865"/>
      <c r="H911" s="874"/>
      <c r="I911" s="869"/>
      <c r="J911" s="869"/>
      <c r="K911" s="869"/>
      <c r="L911" s="869"/>
      <c r="M911" s="874"/>
      <c r="O911" s="874"/>
      <c r="P911" s="874"/>
      <c r="Q911" s="874"/>
      <c r="R911" s="874"/>
      <c r="S911" s="874"/>
      <c r="T911" s="874"/>
      <c r="W911" s="874"/>
      <c r="X911" s="874"/>
      <c r="Y911" s="874"/>
      <c r="Z911" s="874"/>
      <c r="AA911" s="874"/>
      <c r="AD911" s="526"/>
      <c r="AE911" s="526"/>
      <c r="AF911" s="526"/>
      <c r="AG911" s="526"/>
      <c r="AH911" s="526"/>
      <c r="AI911" s="526"/>
      <c r="AJ911" s="526"/>
      <c r="AK911" s="526"/>
      <c r="AL911" s="526"/>
      <c r="AM911" s="526"/>
      <c r="AN911" s="526"/>
      <c r="AO911" s="526"/>
      <c r="AP911" s="526"/>
      <c r="AQ911" s="526"/>
      <c r="AR911" s="526"/>
      <c r="AS911" s="526"/>
      <c r="AT911" s="526"/>
      <c r="AU911" s="526"/>
      <c r="AV911" s="526"/>
      <c r="AW911" s="526"/>
      <c r="AX911" s="526"/>
      <c r="AY911" s="526"/>
      <c r="AZ911" s="526"/>
      <c r="BA911" s="526"/>
      <c r="BB911" s="526"/>
      <c r="BC911" s="526"/>
      <c r="BD911" s="526"/>
      <c r="BE911" s="526"/>
      <c r="BF911" s="526"/>
      <c r="BG911" s="526"/>
    </row>
    <row r="912" spans="1:59" s="830" customFormat="1" ht="17.25" customHeight="1" x14ac:dyDescent="0.25">
      <c r="A912" s="865"/>
      <c r="B912" s="865"/>
      <c r="C912" s="908"/>
      <c r="G912" s="865"/>
      <c r="H912" s="874"/>
      <c r="I912" s="869"/>
      <c r="J912" s="869"/>
      <c r="K912" s="869"/>
      <c r="L912" s="869"/>
      <c r="M912" s="874"/>
      <c r="O912" s="874"/>
      <c r="P912" s="874"/>
      <c r="Q912" s="874"/>
      <c r="R912" s="874"/>
      <c r="S912" s="874"/>
      <c r="T912" s="874"/>
      <c r="W912" s="874"/>
      <c r="X912" s="874"/>
      <c r="Y912" s="874"/>
      <c r="Z912" s="874"/>
      <c r="AA912" s="874"/>
      <c r="AD912" s="526"/>
      <c r="AE912" s="526"/>
      <c r="AF912" s="526"/>
      <c r="AG912" s="526"/>
      <c r="AH912" s="526"/>
      <c r="AI912" s="526"/>
      <c r="AJ912" s="526"/>
      <c r="AK912" s="526"/>
      <c r="AL912" s="526"/>
      <c r="AM912" s="526"/>
      <c r="AN912" s="526"/>
      <c r="AO912" s="526"/>
      <c r="AP912" s="526"/>
      <c r="AQ912" s="526"/>
      <c r="AR912" s="526"/>
      <c r="AS912" s="526"/>
      <c r="AT912" s="526"/>
      <c r="AU912" s="526"/>
      <c r="AV912" s="526"/>
      <c r="AW912" s="526"/>
      <c r="AX912" s="526"/>
      <c r="AY912" s="526"/>
      <c r="AZ912" s="526"/>
      <c r="BA912" s="526"/>
      <c r="BB912" s="526"/>
      <c r="BC912" s="526"/>
      <c r="BD912" s="526"/>
      <c r="BE912" s="526"/>
      <c r="BF912" s="526"/>
      <c r="BG912" s="526"/>
    </row>
    <row r="913" spans="1:59" s="830" customFormat="1" ht="17.25" customHeight="1" x14ac:dyDescent="0.25">
      <c r="A913" s="865"/>
      <c r="B913" s="865"/>
      <c r="C913" s="908"/>
      <c r="G913" s="865"/>
      <c r="H913" s="874"/>
      <c r="I913" s="869"/>
      <c r="J913" s="869"/>
      <c r="K913" s="869"/>
      <c r="L913" s="869"/>
      <c r="M913" s="874"/>
      <c r="O913" s="874"/>
      <c r="P913" s="874"/>
      <c r="Q913" s="874"/>
      <c r="R913" s="874"/>
      <c r="S913" s="874"/>
      <c r="T913" s="874"/>
      <c r="W913" s="874"/>
      <c r="X913" s="874"/>
      <c r="Y913" s="874"/>
      <c r="Z913" s="874"/>
      <c r="AA913" s="874"/>
      <c r="AD913" s="526"/>
      <c r="AE913" s="526"/>
      <c r="AF913" s="526"/>
      <c r="AG913" s="526"/>
      <c r="AH913" s="526"/>
      <c r="AI913" s="526"/>
      <c r="AJ913" s="526"/>
      <c r="AK913" s="526"/>
      <c r="AL913" s="526"/>
      <c r="AM913" s="526"/>
      <c r="AN913" s="526"/>
      <c r="AO913" s="526"/>
      <c r="AP913" s="526"/>
      <c r="AQ913" s="526"/>
      <c r="AR913" s="526"/>
      <c r="AS913" s="526"/>
      <c r="AT913" s="526"/>
      <c r="AU913" s="526"/>
      <c r="AV913" s="526"/>
      <c r="AW913" s="526"/>
      <c r="AX913" s="526"/>
      <c r="AY913" s="526"/>
      <c r="AZ913" s="526"/>
      <c r="BA913" s="526"/>
      <c r="BB913" s="526"/>
      <c r="BC913" s="526"/>
      <c r="BD913" s="526"/>
      <c r="BE913" s="526"/>
      <c r="BF913" s="526"/>
      <c r="BG913" s="526"/>
    </row>
    <row r="914" spans="1:59" s="830" customFormat="1" ht="17.25" customHeight="1" x14ac:dyDescent="0.25">
      <c r="A914" s="865"/>
      <c r="B914" s="865"/>
      <c r="C914" s="908"/>
      <c r="G914" s="865"/>
      <c r="H914" s="874"/>
      <c r="I914" s="869"/>
      <c r="J914" s="869"/>
      <c r="K914" s="869"/>
      <c r="L914" s="869"/>
      <c r="M914" s="874"/>
      <c r="O914" s="874"/>
      <c r="P914" s="874"/>
      <c r="Q914" s="874"/>
      <c r="R914" s="874"/>
      <c r="S914" s="874"/>
      <c r="T914" s="874"/>
      <c r="W914" s="874"/>
      <c r="X914" s="874"/>
      <c r="Y914" s="874"/>
      <c r="Z914" s="874"/>
      <c r="AA914" s="874"/>
      <c r="AD914" s="526"/>
      <c r="AE914" s="526"/>
      <c r="AF914" s="526"/>
      <c r="AG914" s="526"/>
      <c r="AH914" s="526"/>
      <c r="AI914" s="526"/>
      <c r="AJ914" s="526"/>
      <c r="AK914" s="526"/>
      <c r="AL914" s="526"/>
      <c r="AM914" s="526"/>
      <c r="AN914" s="526"/>
      <c r="AO914" s="526"/>
      <c r="AP914" s="526"/>
      <c r="AQ914" s="526"/>
      <c r="AR914" s="526"/>
      <c r="AS914" s="526"/>
      <c r="AT914" s="526"/>
      <c r="AU914" s="526"/>
      <c r="AV914" s="526"/>
      <c r="AW914" s="526"/>
      <c r="AX914" s="526"/>
      <c r="AY914" s="526"/>
      <c r="AZ914" s="526"/>
      <c r="BA914" s="526"/>
      <c r="BB914" s="526"/>
      <c r="BC914" s="526"/>
      <c r="BD914" s="526"/>
      <c r="BE914" s="526"/>
      <c r="BF914" s="526"/>
      <c r="BG914" s="526"/>
    </row>
    <row r="915" spans="1:59" s="830" customFormat="1" ht="17.25" customHeight="1" x14ac:dyDescent="0.25">
      <c r="A915" s="865"/>
      <c r="B915" s="865"/>
      <c r="C915" s="908"/>
      <c r="G915" s="865"/>
      <c r="H915" s="874"/>
      <c r="I915" s="869"/>
      <c r="J915" s="869"/>
      <c r="K915" s="869"/>
      <c r="L915" s="869"/>
      <c r="M915" s="874"/>
      <c r="O915" s="874"/>
      <c r="P915" s="874"/>
      <c r="Q915" s="874"/>
      <c r="R915" s="874"/>
      <c r="S915" s="874"/>
      <c r="T915" s="874"/>
      <c r="W915" s="874"/>
      <c r="X915" s="874"/>
      <c r="Y915" s="874"/>
      <c r="Z915" s="874"/>
      <c r="AA915" s="874"/>
      <c r="AD915" s="526"/>
      <c r="AE915" s="526"/>
      <c r="AF915" s="526"/>
      <c r="AG915" s="526"/>
      <c r="AH915" s="526"/>
      <c r="AI915" s="526"/>
      <c r="AJ915" s="526"/>
      <c r="AK915" s="526"/>
      <c r="AL915" s="526"/>
      <c r="AM915" s="526"/>
      <c r="AN915" s="526"/>
      <c r="AO915" s="526"/>
      <c r="AP915" s="526"/>
      <c r="AQ915" s="526"/>
      <c r="AR915" s="526"/>
      <c r="AS915" s="526"/>
      <c r="AT915" s="526"/>
      <c r="AU915" s="526"/>
      <c r="AV915" s="526"/>
      <c r="AW915" s="526"/>
      <c r="AX915" s="526"/>
      <c r="AY915" s="526"/>
      <c r="AZ915" s="526"/>
      <c r="BA915" s="526"/>
      <c r="BB915" s="526"/>
      <c r="BC915" s="526"/>
      <c r="BD915" s="526"/>
      <c r="BE915" s="526"/>
      <c r="BF915" s="526"/>
      <c r="BG915" s="526"/>
    </row>
    <row r="916" spans="1:59" s="830" customFormat="1" ht="17.25" customHeight="1" x14ac:dyDescent="0.25">
      <c r="A916" s="865"/>
      <c r="B916" s="865"/>
      <c r="C916" s="908"/>
      <c r="G916" s="865"/>
      <c r="H916" s="874"/>
      <c r="I916" s="869"/>
      <c r="J916" s="869"/>
      <c r="K916" s="869"/>
      <c r="L916" s="869"/>
      <c r="M916" s="874"/>
      <c r="O916" s="874"/>
      <c r="P916" s="874"/>
      <c r="Q916" s="874"/>
      <c r="R916" s="874"/>
      <c r="S916" s="874"/>
      <c r="T916" s="874"/>
      <c r="W916" s="874"/>
      <c r="X916" s="874"/>
      <c r="Y916" s="874"/>
      <c r="Z916" s="874"/>
      <c r="AA916" s="874"/>
      <c r="AD916" s="526"/>
      <c r="AE916" s="526"/>
      <c r="AF916" s="526"/>
      <c r="AG916" s="526"/>
      <c r="AH916" s="526"/>
      <c r="AI916" s="526"/>
      <c r="AJ916" s="526"/>
      <c r="AK916" s="526"/>
      <c r="AL916" s="526"/>
      <c r="AM916" s="526"/>
      <c r="AN916" s="526"/>
      <c r="AO916" s="526"/>
      <c r="AP916" s="526"/>
      <c r="AQ916" s="526"/>
      <c r="AR916" s="526"/>
      <c r="AS916" s="526"/>
      <c r="AT916" s="526"/>
      <c r="AU916" s="526"/>
      <c r="AV916" s="526"/>
      <c r="AW916" s="526"/>
      <c r="AX916" s="526"/>
      <c r="AY916" s="526"/>
      <c r="AZ916" s="526"/>
      <c r="BA916" s="526"/>
      <c r="BB916" s="526"/>
      <c r="BC916" s="526"/>
      <c r="BD916" s="526"/>
      <c r="BE916" s="526"/>
      <c r="BF916" s="526"/>
      <c r="BG916" s="526"/>
    </row>
    <row r="917" spans="1:59" s="830" customFormat="1" ht="17.25" customHeight="1" x14ac:dyDescent="0.25">
      <c r="A917" s="865"/>
      <c r="B917" s="865"/>
      <c r="C917" s="908"/>
      <c r="G917" s="865"/>
      <c r="H917" s="874"/>
      <c r="I917" s="869"/>
      <c r="J917" s="869"/>
      <c r="K917" s="869"/>
      <c r="L917" s="869"/>
      <c r="M917" s="874"/>
      <c r="O917" s="874"/>
      <c r="P917" s="874"/>
      <c r="Q917" s="874"/>
      <c r="R917" s="874"/>
      <c r="S917" s="874"/>
      <c r="T917" s="874"/>
      <c r="W917" s="874"/>
      <c r="X917" s="874"/>
      <c r="Y917" s="874"/>
      <c r="Z917" s="874"/>
      <c r="AA917" s="874"/>
      <c r="AD917" s="526"/>
      <c r="AE917" s="526"/>
      <c r="AF917" s="526"/>
      <c r="AG917" s="526"/>
      <c r="AH917" s="526"/>
      <c r="AI917" s="526"/>
      <c r="AJ917" s="526"/>
      <c r="AK917" s="526"/>
      <c r="AL917" s="526"/>
      <c r="AM917" s="526"/>
      <c r="AN917" s="526"/>
      <c r="AO917" s="526"/>
      <c r="AP917" s="526"/>
      <c r="AQ917" s="526"/>
      <c r="AR917" s="526"/>
      <c r="AS917" s="526"/>
      <c r="AT917" s="526"/>
      <c r="AU917" s="526"/>
      <c r="AV917" s="526"/>
      <c r="AW917" s="526"/>
      <c r="AX917" s="526"/>
      <c r="AY917" s="526"/>
      <c r="AZ917" s="526"/>
      <c r="BA917" s="526"/>
      <c r="BB917" s="526"/>
      <c r="BC917" s="526"/>
      <c r="BD917" s="526"/>
      <c r="BE917" s="526"/>
      <c r="BF917" s="526"/>
      <c r="BG917" s="526"/>
    </row>
    <row r="918" spans="1:59" s="830" customFormat="1" ht="17.25" customHeight="1" x14ac:dyDescent="0.25">
      <c r="A918" s="865"/>
      <c r="B918" s="865"/>
      <c r="C918" s="908"/>
      <c r="G918" s="865"/>
      <c r="H918" s="874"/>
      <c r="I918" s="869"/>
      <c r="J918" s="869"/>
      <c r="K918" s="869"/>
      <c r="L918" s="869"/>
      <c r="M918" s="874"/>
      <c r="O918" s="874"/>
      <c r="P918" s="874"/>
      <c r="Q918" s="874"/>
      <c r="R918" s="874"/>
      <c r="S918" s="874"/>
      <c r="T918" s="874"/>
      <c r="W918" s="874"/>
      <c r="X918" s="874"/>
      <c r="Y918" s="874"/>
      <c r="Z918" s="874"/>
      <c r="AA918" s="874"/>
      <c r="AD918" s="526"/>
      <c r="AE918" s="526"/>
      <c r="AF918" s="526"/>
      <c r="AG918" s="526"/>
      <c r="AH918" s="526"/>
      <c r="AI918" s="526"/>
      <c r="AJ918" s="526"/>
      <c r="AK918" s="526"/>
      <c r="AL918" s="526"/>
      <c r="AM918" s="526"/>
      <c r="AN918" s="526"/>
      <c r="AO918" s="526"/>
      <c r="AP918" s="526"/>
      <c r="AQ918" s="526"/>
      <c r="AR918" s="526"/>
      <c r="AS918" s="526"/>
      <c r="AT918" s="526"/>
      <c r="AU918" s="526"/>
      <c r="AV918" s="526"/>
      <c r="AW918" s="526"/>
      <c r="AX918" s="526"/>
      <c r="AY918" s="526"/>
      <c r="AZ918" s="526"/>
      <c r="BA918" s="526"/>
      <c r="BB918" s="526"/>
      <c r="BC918" s="526"/>
      <c r="BD918" s="526"/>
      <c r="BE918" s="526"/>
      <c r="BF918" s="526"/>
      <c r="BG918" s="526"/>
    </row>
    <row r="919" spans="1:59" s="830" customFormat="1" ht="17.25" customHeight="1" x14ac:dyDescent="0.25">
      <c r="A919" s="865"/>
      <c r="B919" s="865"/>
      <c r="C919" s="908"/>
      <c r="G919" s="865"/>
      <c r="H919" s="874"/>
      <c r="I919" s="869"/>
      <c r="J919" s="869"/>
      <c r="K919" s="869"/>
      <c r="L919" s="869"/>
      <c r="M919" s="874"/>
      <c r="O919" s="874"/>
      <c r="P919" s="874"/>
      <c r="Q919" s="874"/>
      <c r="R919" s="874"/>
      <c r="S919" s="874"/>
      <c r="T919" s="874"/>
      <c r="W919" s="874"/>
      <c r="X919" s="874"/>
      <c r="Y919" s="874"/>
      <c r="Z919" s="874"/>
      <c r="AA919" s="874"/>
      <c r="AD919" s="526"/>
      <c r="AE919" s="526"/>
      <c r="AF919" s="526"/>
      <c r="AG919" s="526"/>
      <c r="AH919" s="526"/>
      <c r="AI919" s="526"/>
      <c r="AJ919" s="526"/>
      <c r="AK919" s="526"/>
      <c r="AL919" s="526"/>
      <c r="AM919" s="526"/>
      <c r="AN919" s="526"/>
      <c r="AO919" s="526"/>
      <c r="AP919" s="526"/>
      <c r="AQ919" s="526"/>
      <c r="AR919" s="526"/>
      <c r="AS919" s="526"/>
      <c r="AT919" s="526"/>
      <c r="AU919" s="526"/>
      <c r="AV919" s="526"/>
      <c r="AW919" s="526"/>
      <c r="AX919" s="526"/>
      <c r="AY919" s="526"/>
      <c r="AZ919" s="526"/>
      <c r="BA919" s="526"/>
      <c r="BB919" s="526"/>
      <c r="BC919" s="526"/>
      <c r="BD919" s="526"/>
      <c r="BE919" s="526"/>
      <c r="BF919" s="526"/>
      <c r="BG919" s="526"/>
    </row>
    <row r="920" spans="1:59" s="830" customFormat="1" ht="17.25" customHeight="1" x14ac:dyDescent="0.25">
      <c r="A920" s="865"/>
      <c r="B920" s="865"/>
      <c r="C920" s="908"/>
      <c r="G920" s="865"/>
      <c r="H920" s="874"/>
      <c r="I920" s="869"/>
      <c r="J920" s="869"/>
      <c r="K920" s="869"/>
      <c r="L920" s="869"/>
      <c r="M920" s="874"/>
      <c r="O920" s="874"/>
      <c r="P920" s="874"/>
      <c r="Q920" s="874"/>
      <c r="R920" s="874"/>
      <c r="S920" s="874"/>
      <c r="T920" s="874"/>
      <c r="W920" s="874"/>
      <c r="X920" s="874"/>
      <c r="Y920" s="874"/>
      <c r="Z920" s="874"/>
      <c r="AA920" s="874"/>
      <c r="AD920" s="526"/>
      <c r="AE920" s="526"/>
      <c r="AF920" s="526"/>
      <c r="AG920" s="526"/>
      <c r="AH920" s="526"/>
      <c r="AI920" s="526"/>
      <c r="AJ920" s="526"/>
      <c r="AK920" s="526"/>
      <c r="AL920" s="526"/>
      <c r="AM920" s="526"/>
      <c r="AN920" s="526"/>
      <c r="AO920" s="526"/>
      <c r="AP920" s="526"/>
      <c r="AQ920" s="526"/>
      <c r="AR920" s="526"/>
      <c r="AS920" s="526"/>
      <c r="AT920" s="526"/>
      <c r="AU920" s="526"/>
      <c r="AV920" s="526"/>
      <c r="AW920" s="526"/>
      <c r="AX920" s="526"/>
      <c r="AY920" s="526"/>
      <c r="AZ920" s="526"/>
      <c r="BA920" s="526"/>
      <c r="BB920" s="526"/>
      <c r="BC920" s="526"/>
      <c r="BD920" s="526"/>
      <c r="BE920" s="526"/>
      <c r="BF920" s="526"/>
      <c r="BG920" s="526"/>
    </row>
    <row r="921" spans="1:59" s="830" customFormat="1" ht="17.25" customHeight="1" x14ac:dyDescent="0.25">
      <c r="A921" s="865"/>
      <c r="B921" s="865"/>
      <c r="C921" s="908"/>
      <c r="G921" s="865"/>
      <c r="H921" s="874"/>
      <c r="I921" s="869"/>
      <c r="J921" s="869"/>
      <c r="K921" s="869"/>
      <c r="L921" s="869"/>
      <c r="M921" s="874"/>
      <c r="O921" s="874"/>
      <c r="P921" s="874"/>
      <c r="Q921" s="874"/>
      <c r="R921" s="874"/>
      <c r="S921" s="874"/>
      <c r="T921" s="874"/>
      <c r="W921" s="874"/>
      <c r="X921" s="874"/>
      <c r="Y921" s="874"/>
      <c r="Z921" s="874"/>
      <c r="AA921" s="874"/>
      <c r="AD921" s="526"/>
      <c r="AE921" s="526"/>
      <c r="AF921" s="526"/>
      <c r="AG921" s="526"/>
      <c r="AH921" s="526"/>
      <c r="AI921" s="526"/>
      <c r="AJ921" s="526"/>
      <c r="AK921" s="526"/>
      <c r="AL921" s="526"/>
      <c r="AM921" s="526"/>
      <c r="AN921" s="526"/>
      <c r="AO921" s="526"/>
      <c r="AP921" s="526"/>
      <c r="AQ921" s="526"/>
      <c r="AR921" s="526"/>
      <c r="AS921" s="526"/>
      <c r="AT921" s="526"/>
      <c r="AU921" s="526"/>
      <c r="AV921" s="526"/>
      <c r="AW921" s="526"/>
      <c r="AX921" s="526"/>
      <c r="AY921" s="526"/>
      <c r="AZ921" s="526"/>
      <c r="BA921" s="526"/>
      <c r="BB921" s="526"/>
      <c r="BC921" s="526"/>
      <c r="BD921" s="526"/>
      <c r="BE921" s="526"/>
      <c r="BF921" s="526"/>
      <c r="BG921" s="526"/>
    </row>
    <row r="922" spans="1:59" s="830" customFormat="1" ht="17.25" customHeight="1" x14ac:dyDescent="0.25">
      <c r="A922" s="865"/>
      <c r="B922" s="865"/>
      <c r="C922" s="908"/>
      <c r="G922" s="865"/>
      <c r="H922" s="874"/>
      <c r="I922" s="869"/>
      <c r="J922" s="869"/>
      <c r="K922" s="869"/>
      <c r="L922" s="869"/>
      <c r="M922" s="874"/>
      <c r="O922" s="874"/>
      <c r="P922" s="874"/>
      <c r="Q922" s="874"/>
      <c r="R922" s="874"/>
      <c r="S922" s="874"/>
      <c r="T922" s="874"/>
      <c r="W922" s="874"/>
      <c r="X922" s="874"/>
      <c r="Y922" s="874"/>
      <c r="Z922" s="874"/>
      <c r="AA922" s="874"/>
      <c r="AD922" s="526"/>
      <c r="AE922" s="526"/>
      <c r="AF922" s="526"/>
      <c r="AG922" s="526"/>
      <c r="AH922" s="526"/>
      <c r="AI922" s="526"/>
      <c r="AJ922" s="526"/>
      <c r="AK922" s="526"/>
      <c r="AL922" s="526"/>
      <c r="AM922" s="526"/>
      <c r="AN922" s="526"/>
      <c r="AO922" s="526"/>
      <c r="AP922" s="526"/>
      <c r="AQ922" s="526"/>
      <c r="AR922" s="526"/>
      <c r="AS922" s="526"/>
      <c r="AT922" s="526"/>
      <c r="AU922" s="526"/>
      <c r="AV922" s="526"/>
      <c r="AW922" s="526"/>
      <c r="AX922" s="526"/>
      <c r="AY922" s="526"/>
      <c r="AZ922" s="526"/>
      <c r="BA922" s="526"/>
      <c r="BB922" s="526"/>
      <c r="BC922" s="526"/>
      <c r="BD922" s="526"/>
      <c r="BE922" s="526"/>
      <c r="BF922" s="526"/>
      <c r="BG922" s="526"/>
    </row>
    <row r="923" spans="1:59" s="830" customFormat="1" ht="17.25" customHeight="1" x14ac:dyDescent="0.25">
      <c r="A923" s="865"/>
      <c r="B923" s="865"/>
      <c r="C923" s="908"/>
      <c r="G923" s="865"/>
      <c r="H923" s="874"/>
      <c r="I923" s="869"/>
      <c r="J923" s="869"/>
      <c r="K923" s="869"/>
      <c r="L923" s="869"/>
      <c r="M923" s="874"/>
      <c r="O923" s="874"/>
      <c r="P923" s="874"/>
      <c r="Q923" s="874"/>
      <c r="R923" s="874"/>
      <c r="S923" s="874"/>
      <c r="T923" s="874"/>
      <c r="W923" s="874"/>
      <c r="X923" s="874"/>
      <c r="Y923" s="874"/>
      <c r="Z923" s="874"/>
      <c r="AA923" s="874"/>
      <c r="AD923" s="526"/>
      <c r="AE923" s="526"/>
      <c r="AF923" s="526"/>
      <c r="AG923" s="526"/>
      <c r="AH923" s="526"/>
      <c r="AI923" s="526"/>
      <c r="AJ923" s="526"/>
      <c r="AK923" s="526"/>
      <c r="AL923" s="526"/>
      <c r="AM923" s="526"/>
      <c r="AN923" s="526"/>
      <c r="AO923" s="526"/>
      <c r="AP923" s="526"/>
      <c r="AQ923" s="526"/>
      <c r="AR923" s="526"/>
      <c r="AS923" s="526"/>
      <c r="AT923" s="526"/>
      <c r="AU923" s="526"/>
      <c r="AV923" s="526"/>
      <c r="AW923" s="526"/>
      <c r="AX923" s="526"/>
      <c r="AY923" s="526"/>
      <c r="AZ923" s="526"/>
      <c r="BA923" s="526"/>
      <c r="BB923" s="526"/>
      <c r="BC923" s="526"/>
      <c r="BD923" s="526"/>
      <c r="BE923" s="526"/>
      <c r="BF923" s="526"/>
      <c r="BG923" s="526"/>
    </row>
    <row r="924" spans="1:59" s="830" customFormat="1" ht="17.25" customHeight="1" x14ac:dyDescent="0.25">
      <c r="A924" s="865"/>
      <c r="B924" s="865"/>
      <c r="C924" s="908"/>
      <c r="G924" s="865"/>
      <c r="H924" s="874"/>
      <c r="I924" s="869"/>
      <c r="J924" s="869"/>
      <c r="K924" s="869"/>
      <c r="L924" s="869"/>
      <c r="M924" s="874"/>
      <c r="O924" s="874"/>
      <c r="P924" s="874"/>
      <c r="Q924" s="874"/>
      <c r="R924" s="874"/>
      <c r="S924" s="874"/>
      <c r="T924" s="874"/>
      <c r="W924" s="874"/>
      <c r="X924" s="874"/>
      <c r="Y924" s="874"/>
      <c r="Z924" s="874"/>
      <c r="AA924" s="874"/>
      <c r="AD924" s="526"/>
      <c r="AE924" s="526"/>
      <c r="AF924" s="526"/>
      <c r="AG924" s="526"/>
      <c r="AH924" s="526"/>
      <c r="AI924" s="526"/>
      <c r="AJ924" s="526"/>
      <c r="AK924" s="526"/>
      <c r="AL924" s="526"/>
      <c r="AM924" s="526"/>
      <c r="AN924" s="526"/>
      <c r="AO924" s="526"/>
      <c r="AP924" s="526"/>
      <c r="AQ924" s="526"/>
      <c r="AR924" s="526"/>
      <c r="AS924" s="526"/>
      <c r="AT924" s="526"/>
      <c r="AU924" s="526"/>
      <c r="AV924" s="526"/>
      <c r="AW924" s="526"/>
      <c r="AX924" s="526"/>
      <c r="AY924" s="526"/>
      <c r="AZ924" s="526"/>
      <c r="BA924" s="526"/>
      <c r="BB924" s="526"/>
      <c r="BC924" s="526"/>
      <c r="BD924" s="526"/>
      <c r="BE924" s="526"/>
      <c r="BF924" s="526"/>
      <c r="BG924" s="526"/>
    </row>
    <row r="925" spans="1:59" s="830" customFormat="1" ht="17.25" customHeight="1" x14ac:dyDescent="0.25">
      <c r="A925" s="865"/>
      <c r="B925" s="865"/>
      <c r="C925" s="908"/>
      <c r="G925" s="865"/>
      <c r="H925" s="874"/>
      <c r="I925" s="869"/>
      <c r="J925" s="869"/>
      <c r="K925" s="869"/>
      <c r="L925" s="869"/>
      <c r="M925" s="874"/>
      <c r="O925" s="874"/>
      <c r="P925" s="874"/>
      <c r="Q925" s="874"/>
      <c r="R925" s="874"/>
      <c r="S925" s="874"/>
      <c r="T925" s="874"/>
      <c r="W925" s="874"/>
      <c r="X925" s="874"/>
      <c r="Y925" s="874"/>
      <c r="Z925" s="874"/>
      <c r="AA925" s="874"/>
      <c r="AD925" s="526"/>
      <c r="AE925" s="526"/>
      <c r="AF925" s="526"/>
      <c r="AG925" s="526"/>
      <c r="AH925" s="526"/>
      <c r="AI925" s="526"/>
      <c r="AJ925" s="526"/>
      <c r="AK925" s="526"/>
      <c r="AL925" s="526"/>
      <c r="AM925" s="526"/>
      <c r="AN925" s="526"/>
      <c r="AO925" s="526"/>
      <c r="AP925" s="526"/>
      <c r="AQ925" s="526"/>
      <c r="AR925" s="526"/>
      <c r="AS925" s="526"/>
      <c r="AT925" s="526"/>
      <c r="AU925" s="526"/>
      <c r="AV925" s="526"/>
      <c r="AW925" s="526"/>
      <c r="AX925" s="526"/>
      <c r="AY925" s="526"/>
      <c r="AZ925" s="526"/>
      <c r="BA925" s="526"/>
      <c r="BB925" s="526"/>
      <c r="BC925" s="526"/>
      <c r="BD925" s="526"/>
      <c r="BE925" s="526"/>
      <c r="BF925" s="526"/>
      <c r="BG925" s="526"/>
    </row>
    <row r="926" spans="1:59" s="830" customFormat="1" ht="17.25" customHeight="1" x14ac:dyDescent="0.25">
      <c r="A926" s="865"/>
      <c r="B926" s="865"/>
      <c r="C926" s="908"/>
      <c r="G926" s="865"/>
      <c r="H926" s="874"/>
      <c r="I926" s="869"/>
      <c r="J926" s="869"/>
      <c r="K926" s="869"/>
      <c r="L926" s="869"/>
      <c r="M926" s="874"/>
      <c r="O926" s="874"/>
      <c r="P926" s="874"/>
      <c r="Q926" s="874"/>
      <c r="R926" s="874"/>
      <c r="S926" s="874"/>
      <c r="T926" s="874"/>
      <c r="W926" s="874"/>
      <c r="X926" s="874"/>
      <c r="Y926" s="874"/>
      <c r="Z926" s="874"/>
      <c r="AA926" s="874"/>
      <c r="AD926" s="526"/>
      <c r="AE926" s="526"/>
      <c r="AF926" s="526"/>
      <c r="AG926" s="526"/>
      <c r="AH926" s="526"/>
      <c r="AI926" s="526"/>
      <c r="AJ926" s="526"/>
      <c r="AK926" s="526"/>
      <c r="AL926" s="526"/>
      <c r="AM926" s="526"/>
      <c r="AN926" s="526"/>
      <c r="AO926" s="526"/>
      <c r="AP926" s="526"/>
      <c r="AQ926" s="526"/>
      <c r="AR926" s="526"/>
      <c r="AS926" s="526"/>
      <c r="AT926" s="526"/>
      <c r="AU926" s="526"/>
      <c r="AV926" s="526"/>
      <c r="AW926" s="526"/>
      <c r="AX926" s="526"/>
      <c r="AY926" s="526"/>
      <c r="AZ926" s="526"/>
      <c r="BA926" s="526"/>
      <c r="BB926" s="526"/>
      <c r="BC926" s="526"/>
      <c r="BD926" s="526"/>
      <c r="BE926" s="526"/>
      <c r="BF926" s="526"/>
      <c r="BG926" s="526"/>
    </row>
    <row r="927" spans="1:59" s="830" customFormat="1" ht="17.25" customHeight="1" x14ac:dyDescent="0.25">
      <c r="A927" s="865"/>
      <c r="B927" s="865"/>
      <c r="C927" s="908"/>
      <c r="G927" s="865"/>
      <c r="H927" s="874"/>
      <c r="I927" s="869"/>
      <c r="J927" s="869"/>
      <c r="K927" s="869"/>
      <c r="L927" s="869"/>
      <c r="M927" s="874"/>
      <c r="O927" s="874"/>
      <c r="P927" s="874"/>
      <c r="Q927" s="874"/>
      <c r="R927" s="874"/>
      <c r="S927" s="874"/>
      <c r="T927" s="874"/>
      <c r="W927" s="874"/>
      <c r="X927" s="874"/>
      <c r="Y927" s="874"/>
      <c r="Z927" s="874"/>
      <c r="AA927" s="874"/>
      <c r="AD927" s="526"/>
      <c r="AE927" s="526"/>
      <c r="AF927" s="526"/>
      <c r="AG927" s="526"/>
      <c r="AH927" s="526"/>
      <c r="AI927" s="526"/>
      <c r="AJ927" s="526"/>
      <c r="AK927" s="526"/>
      <c r="AL927" s="526"/>
      <c r="AM927" s="526"/>
      <c r="AN927" s="526"/>
      <c r="AO927" s="526"/>
      <c r="AP927" s="526"/>
      <c r="AQ927" s="526"/>
      <c r="AR927" s="526"/>
      <c r="AS927" s="526"/>
      <c r="AT927" s="526"/>
      <c r="AU927" s="526"/>
      <c r="AV927" s="526"/>
      <c r="AW927" s="526"/>
      <c r="AX927" s="526"/>
      <c r="AY927" s="526"/>
      <c r="AZ927" s="526"/>
      <c r="BA927" s="526"/>
      <c r="BB927" s="526"/>
      <c r="BC927" s="526"/>
      <c r="BD927" s="526"/>
      <c r="BE927" s="526"/>
      <c r="BF927" s="526"/>
      <c r="BG927" s="526"/>
    </row>
    <row r="928" spans="1:59" s="830" customFormat="1" ht="17.25" customHeight="1" x14ac:dyDescent="0.25">
      <c r="A928" s="865"/>
      <c r="B928" s="865"/>
      <c r="C928" s="908"/>
      <c r="G928" s="865"/>
      <c r="H928" s="874"/>
      <c r="I928" s="869"/>
      <c r="J928" s="869"/>
      <c r="K928" s="869"/>
      <c r="L928" s="869"/>
      <c r="M928" s="874"/>
      <c r="O928" s="874"/>
      <c r="P928" s="874"/>
      <c r="Q928" s="874"/>
      <c r="R928" s="874"/>
      <c r="S928" s="874"/>
      <c r="T928" s="874"/>
      <c r="W928" s="874"/>
      <c r="X928" s="874"/>
      <c r="Y928" s="874"/>
      <c r="Z928" s="874"/>
      <c r="AA928" s="874"/>
      <c r="AD928" s="526"/>
      <c r="AE928" s="526"/>
      <c r="AF928" s="526"/>
      <c r="AG928" s="526"/>
      <c r="AH928" s="526"/>
      <c r="AI928" s="526"/>
      <c r="AJ928" s="526"/>
      <c r="AK928" s="526"/>
      <c r="AL928" s="526"/>
      <c r="AM928" s="526"/>
      <c r="AN928" s="526"/>
      <c r="AO928" s="526"/>
      <c r="AP928" s="526"/>
      <c r="AQ928" s="526"/>
      <c r="AR928" s="526"/>
      <c r="AS928" s="526"/>
      <c r="AT928" s="526"/>
      <c r="AU928" s="526"/>
      <c r="AV928" s="526"/>
      <c r="AW928" s="526"/>
      <c r="AX928" s="526"/>
      <c r="AY928" s="526"/>
      <c r="AZ928" s="526"/>
      <c r="BA928" s="526"/>
      <c r="BB928" s="526"/>
      <c r="BC928" s="526"/>
      <c r="BD928" s="526"/>
      <c r="BE928" s="526"/>
      <c r="BF928" s="526"/>
      <c r="BG928" s="526"/>
    </row>
    <row r="929" spans="1:59" s="830" customFormat="1" ht="17.25" customHeight="1" x14ac:dyDescent="0.25">
      <c r="A929" s="865"/>
      <c r="B929" s="865"/>
      <c r="C929" s="908"/>
      <c r="G929" s="865"/>
      <c r="H929" s="874"/>
      <c r="I929" s="869"/>
      <c r="J929" s="869"/>
      <c r="K929" s="869"/>
      <c r="L929" s="869"/>
      <c r="M929" s="874"/>
      <c r="O929" s="874"/>
      <c r="P929" s="874"/>
      <c r="Q929" s="874"/>
      <c r="R929" s="874"/>
      <c r="S929" s="874"/>
      <c r="T929" s="874"/>
      <c r="W929" s="874"/>
      <c r="X929" s="874"/>
      <c r="Y929" s="874"/>
      <c r="Z929" s="874"/>
      <c r="AA929" s="874"/>
      <c r="AD929" s="526"/>
      <c r="AE929" s="526"/>
      <c r="AF929" s="526"/>
      <c r="AG929" s="526"/>
      <c r="AH929" s="526"/>
      <c r="AI929" s="526"/>
      <c r="AJ929" s="526"/>
      <c r="AK929" s="526"/>
      <c r="AL929" s="526"/>
      <c r="AM929" s="526"/>
      <c r="AN929" s="526"/>
      <c r="AO929" s="526"/>
      <c r="AP929" s="526"/>
      <c r="AQ929" s="526"/>
      <c r="AR929" s="526"/>
      <c r="AS929" s="526"/>
      <c r="AT929" s="526"/>
      <c r="AU929" s="526"/>
      <c r="AV929" s="526"/>
      <c r="AW929" s="526"/>
      <c r="AX929" s="526"/>
      <c r="AY929" s="526"/>
      <c r="AZ929" s="526"/>
      <c r="BA929" s="526"/>
      <c r="BB929" s="526"/>
      <c r="BC929" s="526"/>
      <c r="BD929" s="526"/>
      <c r="BE929" s="526"/>
      <c r="BF929" s="526"/>
      <c r="BG929" s="526"/>
    </row>
    <row r="930" spans="1:59" s="830" customFormat="1" ht="17.25" customHeight="1" x14ac:dyDescent="0.25">
      <c r="A930" s="865"/>
      <c r="B930" s="865"/>
      <c r="C930" s="908"/>
      <c r="G930" s="865"/>
      <c r="H930" s="874"/>
      <c r="I930" s="869"/>
      <c r="J930" s="869"/>
      <c r="K930" s="869"/>
      <c r="L930" s="869"/>
      <c r="M930" s="874"/>
      <c r="O930" s="874"/>
      <c r="P930" s="874"/>
      <c r="Q930" s="874"/>
      <c r="R930" s="874"/>
      <c r="S930" s="874"/>
      <c r="T930" s="874"/>
      <c r="W930" s="874"/>
      <c r="X930" s="874"/>
      <c r="Y930" s="874"/>
      <c r="Z930" s="874"/>
      <c r="AA930" s="874"/>
      <c r="AD930" s="526"/>
      <c r="AE930" s="526"/>
      <c r="AF930" s="526"/>
      <c r="AG930" s="526"/>
      <c r="AH930" s="526"/>
      <c r="AI930" s="526"/>
      <c r="AJ930" s="526"/>
      <c r="AK930" s="526"/>
      <c r="AL930" s="526"/>
      <c r="AM930" s="526"/>
      <c r="AN930" s="526"/>
      <c r="AO930" s="526"/>
      <c r="AP930" s="526"/>
      <c r="AQ930" s="526"/>
      <c r="AR930" s="526"/>
      <c r="AS930" s="526"/>
      <c r="AT930" s="526"/>
      <c r="AU930" s="526"/>
      <c r="AV930" s="526"/>
      <c r="AW930" s="526"/>
      <c r="AX930" s="526"/>
      <c r="AY930" s="526"/>
      <c r="AZ930" s="526"/>
      <c r="BA930" s="526"/>
      <c r="BB930" s="526"/>
      <c r="BC930" s="526"/>
      <c r="BD930" s="526"/>
      <c r="BE930" s="526"/>
      <c r="BF930" s="526"/>
      <c r="BG930" s="526"/>
    </row>
    <row r="931" spans="1:59" s="830" customFormat="1" ht="17.25" customHeight="1" x14ac:dyDescent="0.25">
      <c r="A931" s="865"/>
      <c r="B931" s="865"/>
      <c r="C931" s="908"/>
      <c r="G931" s="865"/>
      <c r="H931" s="874"/>
      <c r="I931" s="869"/>
      <c r="J931" s="869"/>
      <c r="K931" s="869"/>
      <c r="L931" s="869"/>
      <c r="M931" s="874"/>
      <c r="O931" s="874"/>
      <c r="P931" s="874"/>
      <c r="Q931" s="874"/>
      <c r="R931" s="874"/>
      <c r="S931" s="874"/>
      <c r="T931" s="874"/>
      <c r="W931" s="874"/>
      <c r="X931" s="874"/>
      <c r="Y931" s="874"/>
      <c r="Z931" s="874"/>
      <c r="AA931" s="874"/>
      <c r="AD931" s="526"/>
      <c r="AE931" s="526"/>
      <c r="AF931" s="526"/>
      <c r="AG931" s="526"/>
      <c r="AH931" s="526"/>
      <c r="AI931" s="526"/>
      <c r="AJ931" s="526"/>
      <c r="AK931" s="526"/>
      <c r="AL931" s="526"/>
      <c r="AM931" s="526"/>
      <c r="AN931" s="526"/>
      <c r="AO931" s="526"/>
      <c r="AP931" s="526"/>
      <c r="AQ931" s="526"/>
      <c r="AR931" s="526"/>
      <c r="AS931" s="526"/>
      <c r="AT931" s="526"/>
      <c r="AU931" s="526"/>
      <c r="AV931" s="526"/>
      <c r="AW931" s="526"/>
      <c r="AX931" s="526"/>
      <c r="AY931" s="526"/>
      <c r="AZ931" s="526"/>
      <c r="BA931" s="526"/>
      <c r="BB931" s="526"/>
      <c r="BC931" s="526"/>
      <c r="BD931" s="526"/>
      <c r="BE931" s="526"/>
      <c r="BF931" s="526"/>
      <c r="BG931" s="526"/>
    </row>
    <row r="932" spans="1:59" s="830" customFormat="1" ht="17.25" customHeight="1" x14ac:dyDescent="0.25">
      <c r="A932" s="865"/>
      <c r="B932" s="865"/>
      <c r="C932" s="908"/>
      <c r="G932" s="865"/>
      <c r="H932" s="874"/>
      <c r="I932" s="869"/>
      <c r="J932" s="869"/>
      <c r="K932" s="869"/>
      <c r="L932" s="869"/>
      <c r="M932" s="874"/>
      <c r="O932" s="874"/>
      <c r="P932" s="874"/>
      <c r="Q932" s="874"/>
      <c r="R932" s="874"/>
      <c r="S932" s="874"/>
      <c r="T932" s="874"/>
      <c r="W932" s="874"/>
      <c r="X932" s="874"/>
      <c r="Y932" s="874"/>
      <c r="Z932" s="874"/>
      <c r="AA932" s="874"/>
      <c r="AD932" s="526"/>
      <c r="AE932" s="526"/>
      <c r="AF932" s="526"/>
      <c r="AG932" s="526"/>
      <c r="AH932" s="526"/>
      <c r="AI932" s="526"/>
      <c r="AJ932" s="526"/>
      <c r="AK932" s="526"/>
      <c r="AL932" s="526"/>
      <c r="AM932" s="526"/>
      <c r="AN932" s="526"/>
      <c r="AO932" s="526"/>
      <c r="AP932" s="526"/>
      <c r="AQ932" s="526"/>
      <c r="AR932" s="526"/>
      <c r="AS932" s="526"/>
      <c r="AT932" s="526"/>
      <c r="AU932" s="526"/>
      <c r="AV932" s="526"/>
      <c r="AW932" s="526"/>
      <c r="AX932" s="526"/>
      <c r="AY932" s="526"/>
      <c r="AZ932" s="526"/>
      <c r="BA932" s="526"/>
      <c r="BB932" s="526"/>
      <c r="BC932" s="526"/>
      <c r="BD932" s="526"/>
      <c r="BE932" s="526"/>
      <c r="BF932" s="526"/>
      <c r="BG932" s="526"/>
    </row>
    <row r="933" spans="1:59" s="830" customFormat="1" ht="17.25" customHeight="1" x14ac:dyDescent="0.25">
      <c r="A933" s="865"/>
      <c r="B933" s="865"/>
      <c r="C933" s="908"/>
      <c r="G933" s="865"/>
      <c r="H933" s="874"/>
      <c r="I933" s="869"/>
      <c r="J933" s="869"/>
      <c r="K933" s="869"/>
      <c r="L933" s="869"/>
      <c r="M933" s="874"/>
      <c r="O933" s="874"/>
      <c r="P933" s="874"/>
      <c r="Q933" s="874"/>
      <c r="R933" s="874"/>
      <c r="S933" s="874"/>
      <c r="T933" s="874"/>
      <c r="W933" s="874"/>
      <c r="X933" s="874"/>
      <c r="Y933" s="874"/>
      <c r="Z933" s="874"/>
      <c r="AA933" s="874"/>
      <c r="AD933" s="526"/>
      <c r="AE933" s="526"/>
      <c r="AF933" s="526"/>
      <c r="AG933" s="526"/>
      <c r="AH933" s="526"/>
      <c r="AI933" s="526"/>
      <c r="AJ933" s="526"/>
      <c r="AK933" s="526"/>
      <c r="AL933" s="526"/>
      <c r="AM933" s="526"/>
      <c r="AN933" s="526"/>
      <c r="AO933" s="526"/>
      <c r="AP933" s="526"/>
      <c r="AQ933" s="526"/>
      <c r="AR933" s="526"/>
      <c r="AS933" s="526"/>
      <c r="AT933" s="526"/>
      <c r="AU933" s="526"/>
      <c r="AV933" s="526"/>
      <c r="AW933" s="526"/>
      <c r="AX933" s="526"/>
      <c r="AY933" s="526"/>
      <c r="AZ933" s="526"/>
      <c r="BA933" s="526"/>
      <c r="BB933" s="526"/>
      <c r="BC933" s="526"/>
      <c r="BD933" s="526"/>
      <c r="BE933" s="526"/>
      <c r="BF933" s="526"/>
      <c r="BG933" s="526"/>
    </row>
    <row r="934" spans="1:59" s="830" customFormat="1" ht="17.25" customHeight="1" x14ac:dyDescent="0.25">
      <c r="A934" s="865"/>
      <c r="B934" s="865"/>
      <c r="C934" s="908"/>
      <c r="G934" s="865"/>
      <c r="H934" s="874"/>
      <c r="I934" s="869"/>
      <c r="J934" s="869"/>
      <c r="K934" s="869"/>
      <c r="L934" s="869"/>
      <c r="M934" s="874"/>
      <c r="O934" s="874"/>
      <c r="P934" s="874"/>
      <c r="Q934" s="874"/>
      <c r="R934" s="874"/>
      <c r="S934" s="874"/>
      <c r="T934" s="874"/>
      <c r="W934" s="874"/>
      <c r="X934" s="874"/>
      <c r="Y934" s="874"/>
      <c r="Z934" s="874"/>
      <c r="AA934" s="874"/>
      <c r="AD934" s="526"/>
      <c r="AE934" s="526"/>
      <c r="AF934" s="526"/>
      <c r="AG934" s="526"/>
      <c r="AH934" s="526"/>
      <c r="AI934" s="526"/>
      <c r="AJ934" s="526"/>
      <c r="AK934" s="526"/>
      <c r="AL934" s="526"/>
      <c r="AM934" s="526"/>
      <c r="AN934" s="526"/>
      <c r="AO934" s="526"/>
      <c r="AP934" s="526"/>
      <c r="AQ934" s="526"/>
      <c r="AR934" s="526"/>
      <c r="AS934" s="526"/>
      <c r="AT934" s="526"/>
      <c r="AU934" s="526"/>
      <c r="AV934" s="526"/>
      <c r="AW934" s="526"/>
      <c r="AX934" s="526"/>
      <c r="AY934" s="526"/>
      <c r="AZ934" s="526"/>
      <c r="BA934" s="526"/>
      <c r="BB934" s="526"/>
      <c r="BC934" s="526"/>
      <c r="BD934" s="526"/>
      <c r="BE934" s="526"/>
      <c r="BF934" s="526"/>
      <c r="BG934" s="526"/>
    </row>
    <row r="935" spans="1:59" s="830" customFormat="1" ht="17.25" customHeight="1" x14ac:dyDescent="0.25">
      <c r="A935" s="865"/>
      <c r="B935" s="865"/>
      <c r="C935" s="908"/>
      <c r="G935" s="865"/>
      <c r="H935" s="874"/>
      <c r="I935" s="869"/>
      <c r="J935" s="869"/>
      <c r="K935" s="869"/>
      <c r="L935" s="869"/>
      <c r="M935" s="874"/>
      <c r="O935" s="874"/>
      <c r="P935" s="874"/>
      <c r="Q935" s="874"/>
      <c r="R935" s="874"/>
      <c r="S935" s="874"/>
      <c r="T935" s="874"/>
      <c r="W935" s="874"/>
      <c r="X935" s="874"/>
      <c r="Y935" s="874"/>
      <c r="Z935" s="874"/>
      <c r="AA935" s="874"/>
      <c r="AD935" s="526"/>
      <c r="AE935" s="526"/>
      <c r="AF935" s="526"/>
      <c r="AG935" s="526"/>
      <c r="AH935" s="526"/>
      <c r="AI935" s="526"/>
      <c r="AJ935" s="526"/>
      <c r="AK935" s="526"/>
      <c r="AL935" s="526"/>
      <c r="AM935" s="526"/>
      <c r="AN935" s="526"/>
      <c r="AO935" s="526"/>
      <c r="AP935" s="526"/>
      <c r="AQ935" s="526"/>
      <c r="AR935" s="526"/>
      <c r="AS935" s="526"/>
      <c r="AT935" s="526"/>
      <c r="AU935" s="526"/>
      <c r="AV935" s="526"/>
      <c r="AW935" s="526"/>
      <c r="AX935" s="526"/>
      <c r="AY935" s="526"/>
      <c r="AZ935" s="526"/>
      <c r="BA935" s="526"/>
      <c r="BB935" s="526"/>
      <c r="BC935" s="526"/>
      <c r="BD935" s="526"/>
      <c r="BE935" s="526"/>
      <c r="BF935" s="526"/>
      <c r="BG935" s="526"/>
    </row>
    <row r="936" spans="1:59" s="830" customFormat="1" ht="17.25" customHeight="1" x14ac:dyDescent="0.25">
      <c r="A936" s="865"/>
      <c r="B936" s="865"/>
      <c r="C936" s="908"/>
      <c r="G936" s="865"/>
      <c r="H936" s="874"/>
      <c r="I936" s="869"/>
      <c r="J936" s="869"/>
      <c r="K936" s="869"/>
      <c r="L936" s="869"/>
      <c r="M936" s="874"/>
      <c r="O936" s="874"/>
      <c r="P936" s="874"/>
      <c r="Q936" s="874"/>
      <c r="R936" s="874"/>
      <c r="S936" s="874"/>
      <c r="T936" s="874"/>
      <c r="W936" s="874"/>
      <c r="X936" s="874"/>
      <c r="Y936" s="874"/>
      <c r="Z936" s="874"/>
      <c r="AA936" s="874"/>
      <c r="AD936" s="526"/>
      <c r="AE936" s="526"/>
      <c r="AF936" s="526"/>
      <c r="AG936" s="526"/>
      <c r="AH936" s="526"/>
      <c r="AI936" s="526"/>
      <c r="AJ936" s="526"/>
      <c r="AK936" s="526"/>
      <c r="AL936" s="526"/>
      <c r="AM936" s="526"/>
      <c r="AN936" s="526"/>
      <c r="AO936" s="526"/>
      <c r="AP936" s="526"/>
      <c r="AQ936" s="526"/>
      <c r="AR936" s="526"/>
      <c r="AS936" s="526"/>
      <c r="AT936" s="526"/>
      <c r="AU936" s="526"/>
      <c r="AV936" s="526"/>
      <c r="AW936" s="526"/>
      <c r="AX936" s="526"/>
      <c r="AY936" s="526"/>
      <c r="AZ936" s="526"/>
      <c r="BA936" s="526"/>
      <c r="BB936" s="526"/>
      <c r="BC936" s="526"/>
      <c r="BD936" s="526"/>
      <c r="BE936" s="526"/>
      <c r="BF936" s="526"/>
      <c r="BG936" s="526"/>
    </row>
    <row r="937" spans="1:59" s="830" customFormat="1" ht="17.25" customHeight="1" x14ac:dyDescent="0.25">
      <c r="A937" s="865"/>
      <c r="B937" s="865"/>
      <c r="C937" s="908"/>
      <c r="G937" s="865"/>
      <c r="H937" s="874"/>
      <c r="I937" s="869"/>
      <c r="J937" s="869"/>
      <c r="K937" s="869"/>
      <c r="L937" s="869"/>
      <c r="M937" s="874"/>
      <c r="O937" s="874"/>
      <c r="P937" s="874"/>
      <c r="Q937" s="874"/>
      <c r="R937" s="874"/>
      <c r="S937" s="874"/>
      <c r="T937" s="874"/>
      <c r="W937" s="874"/>
      <c r="X937" s="874"/>
      <c r="Y937" s="874"/>
      <c r="Z937" s="874"/>
      <c r="AA937" s="874"/>
      <c r="AD937" s="526"/>
      <c r="AE937" s="526"/>
      <c r="AF937" s="526"/>
      <c r="AG937" s="526"/>
      <c r="AH937" s="526"/>
      <c r="AI937" s="526"/>
      <c r="AJ937" s="526"/>
      <c r="AK937" s="526"/>
      <c r="AL937" s="526"/>
      <c r="AM937" s="526"/>
      <c r="AN937" s="526"/>
      <c r="AO937" s="526"/>
      <c r="AP937" s="526"/>
      <c r="AQ937" s="526"/>
      <c r="AR937" s="526"/>
      <c r="AS937" s="526"/>
      <c r="AT937" s="526"/>
      <c r="AU937" s="526"/>
      <c r="AV937" s="526"/>
      <c r="AW937" s="526"/>
      <c r="AX937" s="526"/>
      <c r="AY937" s="526"/>
      <c r="AZ937" s="526"/>
      <c r="BA937" s="526"/>
      <c r="BB937" s="526"/>
      <c r="BC937" s="526"/>
      <c r="BD937" s="526"/>
      <c r="BE937" s="526"/>
      <c r="BF937" s="526"/>
      <c r="BG937" s="526"/>
    </row>
    <row r="938" spans="1:59" s="830" customFormat="1" ht="17.25" customHeight="1" x14ac:dyDescent="0.25">
      <c r="A938" s="865"/>
      <c r="B938" s="865"/>
      <c r="C938" s="908"/>
      <c r="G938" s="865"/>
      <c r="H938" s="874"/>
      <c r="I938" s="869"/>
      <c r="J938" s="869"/>
      <c r="K938" s="869"/>
      <c r="L938" s="869"/>
      <c r="M938" s="874"/>
      <c r="O938" s="874"/>
      <c r="P938" s="874"/>
      <c r="Q938" s="874"/>
      <c r="R938" s="874"/>
      <c r="S938" s="874"/>
      <c r="T938" s="874"/>
      <c r="W938" s="874"/>
      <c r="X938" s="874"/>
      <c r="Y938" s="874"/>
      <c r="Z938" s="874"/>
      <c r="AA938" s="874"/>
      <c r="AD938" s="526"/>
      <c r="AE938" s="526"/>
      <c r="AF938" s="526"/>
      <c r="AG938" s="526"/>
      <c r="AH938" s="526"/>
      <c r="AI938" s="526"/>
      <c r="AJ938" s="526"/>
      <c r="AK938" s="526"/>
      <c r="AL938" s="526"/>
      <c r="AM938" s="526"/>
      <c r="AN938" s="526"/>
      <c r="AO938" s="526"/>
      <c r="AP938" s="526"/>
      <c r="AQ938" s="526"/>
      <c r="AR938" s="526"/>
      <c r="AS938" s="526"/>
      <c r="AT938" s="526"/>
      <c r="AU938" s="526"/>
      <c r="AV938" s="526"/>
      <c r="AW938" s="526"/>
      <c r="AX938" s="526"/>
      <c r="AY938" s="526"/>
      <c r="AZ938" s="526"/>
      <c r="BA938" s="526"/>
      <c r="BB938" s="526"/>
      <c r="BC938" s="526"/>
      <c r="BD938" s="526"/>
      <c r="BE938" s="526"/>
      <c r="BF938" s="526"/>
      <c r="BG938" s="526"/>
    </row>
    <row r="939" spans="1:59" s="830" customFormat="1" ht="17.25" customHeight="1" x14ac:dyDescent="0.25">
      <c r="A939" s="865"/>
      <c r="B939" s="865"/>
      <c r="C939" s="908"/>
      <c r="G939" s="865"/>
      <c r="H939" s="874"/>
      <c r="I939" s="869"/>
      <c r="J939" s="869"/>
      <c r="K939" s="869"/>
      <c r="L939" s="869"/>
      <c r="M939" s="874"/>
      <c r="O939" s="874"/>
      <c r="P939" s="874"/>
      <c r="Q939" s="874"/>
      <c r="R939" s="874"/>
      <c r="S939" s="874"/>
      <c r="T939" s="874"/>
      <c r="W939" s="874"/>
      <c r="X939" s="874"/>
      <c r="Y939" s="874"/>
      <c r="Z939" s="874"/>
      <c r="AA939" s="874"/>
      <c r="AD939" s="526"/>
      <c r="AE939" s="526"/>
      <c r="AF939" s="526"/>
      <c r="AG939" s="526"/>
      <c r="AH939" s="526"/>
      <c r="AI939" s="526"/>
      <c r="AJ939" s="526"/>
      <c r="AK939" s="526"/>
      <c r="AL939" s="526"/>
      <c r="AM939" s="526"/>
      <c r="AN939" s="526"/>
      <c r="AO939" s="526"/>
      <c r="AP939" s="526"/>
      <c r="AQ939" s="526"/>
      <c r="AR939" s="526"/>
      <c r="AS939" s="526"/>
      <c r="AT939" s="526"/>
      <c r="AU939" s="526"/>
      <c r="AV939" s="526"/>
      <c r="AW939" s="526"/>
      <c r="AX939" s="526"/>
      <c r="AY939" s="526"/>
      <c r="AZ939" s="526"/>
      <c r="BA939" s="526"/>
      <c r="BB939" s="526"/>
      <c r="BC939" s="526"/>
      <c r="BD939" s="526"/>
      <c r="BE939" s="526"/>
      <c r="BF939" s="526"/>
      <c r="BG939" s="526"/>
    </row>
    <row r="940" spans="1:59" s="830" customFormat="1" ht="17.25" customHeight="1" x14ac:dyDescent="0.25">
      <c r="A940" s="865"/>
      <c r="B940" s="865"/>
      <c r="C940" s="908"/>
      <c r="G940" s="865"/>
      <c r="H940" s="874"/>
      <c r="I940" s="869"/>
      <c r="J940" s="869"/>
      <c r="K940" s="869"/>
      <c r="L940" s="869"/>
      <c r="M940" s="874"/>
      <c r="O940" s="874"/>
      <c r="P940" s="874"/>
      <c r="Q940" s="874"/>
      <c r="R940" s="874"/>
      <c r="S940" s="874"/>
      <c r="T940" s="874"/>
      <c r="W940" s="874"/>
      <c r="X940" s="874"/>
      <c r="Y940" s="874"/>
      <c r="Z940" s="874"/>
      <c r="AA940" s="874"/>
      <c r="AD940" s="526"/>
      <c r="AE940" s="526"/>
      <c r="AF940" s="526"/>
      <c r="AG940" s="526"/>
      <c r="AH940" s="526"/>
      <c r="AI940" s="526"/>
      <c r="AJ940" s="526"/>
      <c r="AK940" s="526"/>
      <c r="AL940" s="526"/>
      <c r="AM940" s="526"/>
      <c r="AN940" s="526"/>
      <c r="AO940" s="526"/>
      <c r="AP940" s="526"/>
      <c r="AQ940" s="526"/>
      <c r="AR940" s="526"/>
      <c r="AS940" s="526"/>
      <c r="AT940" s="526"/>
      <c r="AU940" s="526"/>
      <c r="AV940" s="526"/>
      <c r="AW940" s="526"/>
      <c r="AX940" s="526"/>
      <c r="AY940" s="526"/>
      <c r="AZ940" s="526"/>
      <c r="BA940" s="526"/>
      <c r="BB940" s="526"/>
      <c r="BC940" s="526"/>
      <c r="BD940" s="526"/>
      <c r="BE940" s="526"/>
      <c r="BF940" s="526"/>
      <c r="BG940" s="526"/>
    </row>
    <row r="941" spans="1:59" s="830" customFormat="1" ht="17.25" customHeight="1" x14ac:dyDescent="0.25">
      <c r="A941" s="865"/>
      <c r="B941" s="865"/>
      <c r="C941" s="908"/>
      <c r="G941" s="865"/>
      <c r="H941" s="874"/>
      <c r="I941" s="869"/>
      <c r="J941" s="869"/>
      <c r="K941" s="869"/>
      <c r="L941" s="869"/>
      <c r="M941" s="874"/>
      <c r="O941" s="874"/>
      <c r="P941" s="874"/>
      <c r="Q941" s="874"/>
      <c r="R941" s="874"/>
      <c r="S941" s="874"/>
      <c r="T941" s="874"/>
      <c r="W941" s="874"/>
      <c r="X941" s="874"/>
      <c r="Y941" s="874"/>
      <c r="Z941" s="874"/>
      <c r="AA941" s="874"/>
      <c r="AD941" s="526"/>
      <c r="AE941" s="526"/>
      <c r="AF941" s="526"/>
      <c r="AG941" s="526"/>
      <c r="AH941" s="526"/>
      <c r="AI941" s="526"/>
      <c r="AJ941" s="526"/>
      <c r="AK941" s="526"/>
      <c r="AL941" s="526"/>
      <c r="AM941" s="526"/>
      <c r="AN941" s="526"/>
      <c r="AO941" s="526"/>
      <c r="AP941" s="526"/>
      <c r="AQ941" s="526"/>
      <c r="AR941" s="526"/>
      <c r="AS941" s="526"/>
      <c r="AT941" s="526"/>
      <c r="AU941" s="526"/>
      <c r="AV941" s="526"/>
      <c r="AW941" s="526"/>
      <c r="AX941" s="526"/>
      <c r="AY941" s="526"/>
      <c r="AZ941" s="526"/>
      <c r="BA941" s="526"/>
      <c r="BB941" s="526"/>
      <c r="BC941" s="526"/>
      <c r="BD941" s="526"/>
      <c r="BE941" s="526"/>
      <c r="BF941" s="526"/>
      <c r="BG941" s="526"/>
    </row>
    <row r="942" spans="1:59" s="830" customFormat="1" ht="17.25" customHeight="1" x14ac:dyDescent="0.25">
      <c r="A942" s="865"/>
      <c r="B942" s="865"/>
      <c r="C942" s="908"/>
      <c r="G942" s="865"/>
      <c r="H942" s="874"/>
      <c r="I942" s="869"/>
      <c r="J942" s="869"/>
      <c r="K942" s="869"/>
      <c r="L942" s="869"/>
      <c r="M942" s="874"/>
      <c r="O942" s="874"/>
      <c r="P942" s="874"/>
      <c r="Q942" s="874"/>
      <c r="R942" s="874"/>
      <c r="S942" s="874"/>
      <c r="T942" s="874"/>
      <c r="W942" s="874"/>
      <c r="X942" s="874"/>
      <c r="Y942" s="874"/>
      <c r="Z942" s="874"/>
      <c r="AA942" s="874"/>
      <c r="AD942" s="526"/>
      <c r="AE942" s="526"/>
      <c r="AF942" s="526"/>
      <c r="AG942" s="526"/>
      <c r="AH942" s="526"/>
      <c r="AI942" s="526"/>
      <c r="AJ942" s="526"/>
      <c r="AK942" s="526"/>
      <c r="AL942" s="526"/>
      <c r="AM942" s="526"/>
      <c r="AN942" s="526"/>
      <c r="AO942" s="526"/>
      <c r="AP942" s="526"/>
      <c r="AQ942" s="526"/>
      <c r="AR942" s="526"/>
      <c r="AS942" s="526"/>
      <c r="AT942" s="526"/>
      <c r="AU942" s="526"/>
      <c r="AV942" s="526"/>
      <c r="AW942" s="526"/>
      <c r="AX942" s="526"/>
      <c r="AY942" s="526"/>
      <c r="AZ942" s="526"/>
      <c r="BA942" s="526"/>
      <c r="BB942" s="526"/>
      <c r="BC942" s="526"/>
      <c r="BD942" s="526"/>
      <c r="BE942" s="526"/>
      <c r="BF942" s="526"/>
      <c r="BG942" s="526"/>
    </row>
    <row r="943" spans="1:59" s="830" customFormat="1" ht="17.25" customHeight="1" x14ac:dyDescent="0.25">
      <c r="A943" s="865"/>
      <c r="B943" s="865"/>
      <c r="C943" s="908"/>
      <c r="G943" s="865"/>
      <c r="H943" s="874"/>
      <c r="I943" s="869"/>
      <c r="J943" s="869"/>
      <c r="K943" s="869"/>
      <c r="L943" s="869"/>
      <c r="M943" s="874"/>
      <c r="O943" s="874"/>
      <c r="P943" s="874"/>
      <c r="Q943" s="874"/>
      <c r="R943" s="874"/>
      <c r="S943" s="874"/>
      <c r="T943" s="874"/>
      <c r="W943" s="874"/>
      <c r="X943" s="874"/>
      <c r="Y943" s="874"/>
      <c r="Z943" s="874"/>
      <c r="AA943" s="874"/>
      <c r="AD943" s="526"/>
      <c r="AE943" s="526"/>
      <c r="AF943" s="526"/>
      <c r="AG943" s="526"/>
      <c r="AH943" s="526"/>
      <c r="AI943" s="526"/>
      <c r="AJ943" s="526"/>
      <c r="AK943" s="526"/>
      <c r="AL943" s="526"/>
      <c r="AM943" s="526"/>
      <c r="AN943" s="526"/>
      <c r="AO943" s="526"/>
      <c r="AP943" s="526"/>
      <c r="AQ943" s="526"/>
      <c r="AR943" s="526"/>
      <c r="AS943" s="526"/>
      <c r="AT943" s="526"/>
      <c r="AU943" s="526"/>
      <c r="AV943" s="526"/>
      <c r="AW943" s="526"/>
      <c r="AX943" s="526"/>
      <c r="AY943" s="526"/>
      <c r="AZ943" s="526"/>
      <c r="BA943" s="526"/>
      <c r="BB943" s="526"/>
      <c r="BC943" s="526"/>
      <c r="BD943" s="526"/>
      <c r="BE943" s="526"/>
      <c r="BF943" s="526"/>
      <c r="BG943" s="526"/>
    </row>
    <row r="944" spans="1:59" s="830" customFormat="1" ht="17.25" customHeight="1" x14ac:dyDescent="0.25">
      <c r="A944" s="865"/>
      <c r="B944" s="865"/>
      <c r="C944" s="908"/>
      <c r="G944" s="865"/>
      <c r="H944" s="874"/>
      <c r="I944" s="869"/>
      <c r="J944" s="869"/>
      <c r="K944" s="869"/>
      <c r="L944" s="869"/>
      <c r="M944" s="874"/>
      <c r="O944" s="874"/>
      <c r="P944" s="874"/>
      <c r="Q944" s="874"/>
      <c r="R944" s="874"/>
      <c r="S944" s="874"/>
      <c r="T944" s="874"/>
      <c r="W944" s="874"/>
      <c r="X944" s="874"/>
      <c r="Y944" s="874"/>
      <c r="Z944" s="874"/>
      <c r="AA944" s="874"/>
      <c r="AD944" s="526"/>
      <c r="AE944" s="526"/>
      <c r="AF944" s="526"/>
      <c r="AG944" s="526"/>
      <c r="AH944" s="526"/>
      <c r="AI944" s="526"/>
      <c r="AJ944" s="526"/>
      <c r="AK944" s="526"/>
      <c r="AL944" s="526"/>
      <c r="AM944" s="526"/>
      <c r="AN944" s="526"/>
      <c r="AO944" s="526"/>
      <c r="AP944" s="526"/>
      <c r="AQ944" s="526"/>
      <c r="AR944" s="526"/>
      <c r="AS944" s="526"/>
      <c r="AT944" s="526"/>
      <c r="AU944" s="526"/>
      <c r="AV944" s="526"/>
      <c r="AW944" s="526"/>
      <c r="AX944" s="526"/>
      <c r="AY944" s="526"/>
      <c r="AZ944" s="526"/>
      <c r="BA944" s="526"/>
      <c r="BB944" s="526"/>
      <c r="BC944" s="526"/>
      <c r="BD944" s="526"/>
      <c r="BE944" s="526"/>
      <c r="BF944" s="526"/>
      <c r="BG944" s="526"/>
    </row>
    <row r="945" spans="1:59" s="830" customFormat="1" ht="17.25" customHeight="1" x14ac:dyDescent="0.25">
      <c r="A945" s="865"/>
      <c r="B945" s="865"/>
      <c r="C945" s="908"/>
      <c r="G945" s="865"/>
      <c r="H945" s="874"/>
      <c r="I945" s="869"/>
      <c r="J945" s="869"/>
      <c r="K945" s="869"/>
      <c r="L945" s="869"/>
      <c r="M945" s="874"/>
      <c r="O945" s="874"/>
      <c r="P945" s="874"/>
      <c r="Q945" s="874"/>
      <c r="R945" s="874"/>
      <c r="S945" s="874"/>
      <c r="T945" s="874"/>
      <c r="W945" s="874"/>
      <c r="X945" s="874"/>
      <c r="Y945" s="874"/>
      <c r="Z945" s="874"/>
      <c r="AA945" s="874"/>
      <c r="AD945" s="526"/>
      <c r="AE945" s="526"/>
      <c r="AF945" s="526"/>
      <c r="AG945" s="526"/>
      <c r="AH945" s="526"/>
      <c r="AI945" s="526"/>
      <c r="AJ945" s="526"/>
      <c r="AK945" s="526"/>
      <c r="AL945" s="526"/>
      <c r="AM945" s="526"/>
      <c r="AN945" s="526"/>
      <c r="AO945" s="526"/>
      <c r="AP945" s="526"/>
      <c r="AQ945" s="526"/>
      <c r="AR945" s="526"/>
      <c r="AS945" s="526"/>
      <c r="AT945" s="526"/>
      <c r="AU945" s="526"/>
      <c r="AV945" s="526"/>
      <c r="AW945" s="526"/>
      <c r="AX945" s="526"/>
      <c r="AY945" s="526"/>
      <c r="AZ945" s="526"/>
      <c r="BA945" s="526"/>
      <c r="BB945" s="526"/>
      <c r="BC945" s="526"/>
      <c r="BD945" s="526"/>
      <c r="BE945" s="526"/>
      <c r="BF945" s="526"/>
      <c r="BG945" s="526"/>
    </row>
    <row r="946" spans="1:59" s="830" customFormat="1" ht="17.25" customHeight="1" x14ac:dyDescent="0.25">
      <c r="A946" s="865"/>
      <c r="B946" s="865"/>
      <c r="C946" s="908"/>
      <c r="G946" s="865"/>
      <c r="H946" s="874"/>
      <c r="I946" s="869"/>
      <c r="J946" s="869"/>
      <c r="K946" s="869"/>
      <c r="L946" s="869"/>
      <c r="M946" s="874"/>
      <c r="O946" s="874"/>
      <c r="P946" s="874"/>
      <c r="Q946" s="874"/>
      <c r="R946" s="874"/>
      <c r="S946" s="874"/>
      <c r="T946" s="874"/>
      <c r="W946" s="874"/>
      <c r="X946" s="874"/>
      <c r="Y946" s="874"/>
      <c r="Z946" s="874"/>
      <c r="AA946" s="874"/>
      <c r="AD946" s="526"/>
      <c r="AE946" s="526"/>
      <c r="AF946" s="526"/>
      <c r="AG946" s="526"/>
      <c r="AH946" s="526"/>
      <c r="AI946" s="526"/>
      <c r="AJ946" s="526"/>
      <c r="AK946" s="526"/>
      <c r="AL946" s="526"/>
      <c r="AM946" s="526"/>
      <c r="AN946" s="526"/>
      <c r="AO946" s="526"/>
      <c r="AP946" s="526"/>
      <c r="AQ946" s="526"/>
      <c r="AR946" s="526"/>
      <c r="AS946" s="526"/>
      <c r="AT946" s="526"/>
      <c r="AU946" s="526"/>
      <c r="AV946" s="526"/>
      <c r="AW946" s="526"/>
      <c r="AX946" s="526"/>
      <c r="AY946" s="526"/>
      <c r="AZ946" s="526"/>
      <c r="BA946" s="526"/>
      <c r="BB946" s="526"/>
      <c r="BC946" s="526"/>
      <c r="BD946" s="526"/>
      <c r="BE946" s="526"/>
      <c r="BF946" s="526"/>
      <c r="BG946" s="526"/>
    </row>
    <row r="947" spans="1:59" s="830" customFormat="1" ht="17.25" customHeight="1" x14ac:dyDescent="0.25">
      <c r="A947" s="865"/>
      <c r="B947" s="865"/>
      <c r="C947" s="908"/>
      <c r="G947" s="865"/>
      <c r="H947" s="874"/>
      <c r="I947" s="869"/>
      <c r="J947" s="869"/>
      <c r="K947" s="869"/>
      <c r="L947" s="869"/>
      <c r="M947" s="874"/>
      <c r="O947" s="874"/>
      <c r="P947" s="874"/>
      <c r="Q947" s="874"/>
      <c r="R947" s="874"/>
      <c r="S947" s="874"/>
      <c r="T947" s="874"/>
      <c r="W947" s="874"/>
      <c r="X947" s="874"/>
      <c r="Y947" s="874"/>
      <c r="Z947" s="874"/>
      <c r="AA947" s="874"/>
      <c r="AD947" s="526"/>
      <c r="AE947" s="526"/>
      <c r="AF947" s="526"/>
      <c r="AG947" s="526"/>
      <c r="AH947" s="526"/>
      <c r="AI947" s="526"/>
      <c r="AJ947" s="526"/>
      <c r="AK947" s="526"/>
      <c r="AL947" s="526"/>
      <c r="AM947" s="526"/>
      <c r="AN947" s="526"/>
      <c r="AO947" s="526"/>
      <c r="AP947" s="526"/>
      <c r="AQ947" s="526"/>
      <c r="AR947" s="526"/>
      <c r="AS947" s="526"/>
      <c r="AT947" s="526"/>
      <c r="AU947" s="526"/>
      <c r="AV947" s="526"/>
      <c r="AW947" s="526"/>
      <c r="AX947" s="526"/>
      <c r="AY947" s="526"/>
      <c r="AZ947" s="526"/>
      <c r="BA947" s="526"/>
      <c r="BB947" s="526"/>
      <c r="BC947" s="526"/>
      <c r="BD947" s="526"/>
      <c r="BE947" s="526"/>
      <c r="BF947" s="526"/>
      <c r="BG947" s="526"/>
    </row>
    <row r="948" spans="1:59" s="830" customFormat="1" ht="17.25" customHeight="1" x14ac:dyDescent="0.25">
      <c r="A948" s="865"/>
      <c r="B948" s="865"/>
      <c r="C948" s="908"/>
      <c r="G948" s="865"/>
      <c r="H948" s="874"/>
      <c r="I948" s="869"/>
      <c r="J948" s="869"/>
      <c r="K948" s="869"/>
      <c r="L948" s="869"/>
      <c r="M948" s="874"/>
      <c r="O948" s="874"/>
      <c r="P948" s="874"/>
      <c r="Q948" s="874"/>
      <c r="R948" s="874"/>
      <c r="S948" s="874"/>
      <c r="T948" s="874"/>
      <c r="W948" s="874"/>
      <c r="X948" s="874"/>
      <c r="Y948" s="874"/>
      <c r="Z948" s="874"/>
      <c r="AA948" s="874"/>
      <c r="AD948" s="526"/>
      <c r="AE948" s="526"/>
      <c r="AF948" s="526"/>
      <c r="AG948" s="526"/>
      <c r="AH948" s="526"/>
      <c r="AI948" s="526"/>
      <c r="AJ948" s="526"/>
      <c r="AK948" s="526"/>
      <c r="AL948" s="526"/>
      <c r="AM948" s="526"/>
      <c r="AN948" s="526"/>
      <c r="AO948" s="526"/>
      <c r="AP948" s="526"/>
      <c r="AQ948" s="526"/>
      <c r="AR948" s="526"/>
      <c r="AS948" s="526"/>
      <c r="AT948" s="526"/>
      <c r="AU948" s="526"/>
      <c r="AV948" s="526"/>
      <c r="AW948" s="526"/>
      <c r="AX948" s="526"/>
      <c r="AY948" s="526"/>
      <c r="AZ948" s="526"/>
      <c r="BA948" s="526"/>
      <c r="BB948" s="526"/>
      <c r="BC948" s="526"/>
      <c r="BD948" s="526"/>
      <c r="BE948" s="526"/>
      <c r="BF948" s="526"/>
      <c r="BG948" s="526"/>
    </row>
    <row r="949" spans="1:59" s="830" customFormat="1" ht="17.25" customHeight="1" x14ac:dyDescent="0.25">
      <c r="A949" s="865"/>
      <c r="B949" s="865"/>
      <c r="C949" s="908"/>
      <c r="G949" s="865"/>
      <c r="H949" s="874"/>
      <c r="I949" s="869"/>
      <c r="J949" s="869"/>
      <c r="K949" s="869"/>
      <c r="L949" s="869"/>
      <c r="M949" s="874"/>
      <c r="O949" s="874"/>
      <c r="P949" s="874"/>
      <c r="Q949" s="874"/>
      <c r="R949" s="874"/>
      <c r="S949" s="874"/>
      <c r="T949" s="874"/>
      <c r="W949" s="874"/>
      <c r="X949" s="874"/>
      <c r="Y949" s="874"/>
      <c r="Z949" s="874"/>
      <c r="AA949" s="874"/>
      <c r="AD949" s="526"/>
      <c r="AE949" s="526"/>
      <c r="AF949" s="526"/>
      <c r="AG949" s="526"/>
      <c r="AH949" s="526"/>
      <c r="AI949" s="526"/>
      <c r="AJ949" s="526"/>
      <c r="AK949" s="526"/>
      <c r="AL949" s="526"/>
      <c r="AM949" s="526"/>
      <c r="AN949" s="526"/>
      <c r="AO949" s="526"/>
      <c r="AP949" s="526"/>
      <c r="AQ949" s="526"/>
      <c r="AR949" s="526"/>
      <c r="AS949" s="526"/>
      <c r="AT949" s="526"/>
      <c r="AU949" s="526"/>
      <c r="AV949" s="526"/>
      <c r="AW949" s="526"/>
      <c r="AX949" s="526"/>
      <c r="AY949" s="526"/>
      <c r="AZ949" s="526"/>
      <c r="BA949" s="526"/>
      <c r="BB949" s="526"/>
      <c r="BC949" s="526"/>
      <c r="BD949" s="526"/>
      <c r="BE949" s="526"/>
      <c r="BF949" s="526"/>
      <c r="BG949" s="526"/>
    </row>
    <row r="950" spans="1:59" s="830" customFormat="1" ht="17.25" customHeight="1" x14ac:dyDescent="0.25">
      <c r="A950" s="865"/>
      <c r="B950" s="865"/>
      <c r="C950" s="908"/>
      <c r="G950" s="865"/>
      <c r="H950" s="874"/>
      <c r="I950" s="869"/>
      <c r="J950" s="869"/>
      <c r="K950" s="869"/>
      <c r="L950" s="869"/>
      <c r="M950" s="874"/>
      <c r="O950" s="874"/>
      <c r="P950" s="874"/>
      <c r="Q950" s="874"/>
      <c r="R950" s="874"/>
      <c r="S950" s="874"/>
      <c r="T950" s="874"/>
      <c r="W950" s="874"/>
      <c r="X950" s="874"/>
      <c r="Y950" s="874"/>
      <c r="Z950" s="874"/>
      <c r="AA950" s="874"/>
      <c r="AD950" s="526"/>
      <c r="AE950" s="526"/>
      <c r="AF950" s="526"/>
      <c r="AG950" s="526"/>
      <c r="AH950" s="526"/>
      <c r="AI950" s="526"/>
      <c r="AJ950" s="526"/>
      <c r="AK950" s="526"/>
      <c r="AL950" s="526"/>
      <c r="AM950" s="526"/>
      <c r="AN950" s="526"/>
      <c r="AO950" s="526"/>
      <c r="AP950" s="526"/>
      <c r="AQ950" s="526"/>
      <c r="AR950" s="526"/>
      <c r="AS950" s="526"/>
      <c r="AT950" s="526"/>
      <c r="AU950" s="526"/>
      <c r="AV950" s="526"/>
      <c r="AW950" s="526"/>
      <c r="AX950" s="526"/>
      <c r="AY950" s="526"/>
      <c r="AZ950" s="526"/>
      <c r="BA950" s="526"/>
      <c r="BB950" s="526"/>
      <c r="BC950" s="526"/>
      <c r="BD950" s="526"/>
      <c r="BE950" s="526"/>
      <c r="BF950" s="526"/>
      <c r="BG950" s="526"/>
    </row>
    <row r="951" spans="1:59" s="830" customFormat="1" ht="17.25" customHeight="1" x14ac:dyDescent="0.25">
      <c r="A951" s="865"/>
      <c r="B951" s="865"/>
      <c r="C951" s="908"/>
      <c r="G951" s="865"/>
      <c r="H951" s="874"/>
      <c r="I951" s="869"/>
      <c r="J951" s="869"/>
      <c r="K951" s="869"/>
      <c r="L951" s="869"/>
      <c r="M951" s="874"/>
      <c r="O951" s="874"/>
      <c r="P951" s="874"/>
      <c r="Q951" s="874"/>
      <c r="R951" s="874"/>
      <c r="S951" s="874"/>
      <c r="T951" s="874"/>
      <c r="W951" s="874"/>
      <c r="X951" s="874"/>
      <c r="Y951" s="874"/>
      <c r="Z951" s="874"/>
      <c r="AA951" s="874"/>
      <c r="AD951" s="526"/>
      <c r="AE951" s="526"/>
      <c r="AF951" s="526"/>
      <c r="AG951" s="526"/>
      <c r="AH951" s="526"/>
      <c r="AI951" s="526"/>
      <c r="AJ951" s="526"/>
      <c r="AK951" s="526"/>
      <c r="AL951" s="526"/>
      <c r="AM951" s="526"/>
      <c r="AN951" s="526"/>
      <c r="AO951" s="526"/>
      <c r="AP951" s="526"/>
      <c r="AQ951" s="526"/>
      <c r="AR951" s="526"/>
      <c r="AS951" s="526"/>
      <c r="AT951" s="526"/>
      <c r="AU951" s="526"/>
      <c r="AV951" s="526"/>
      <c r="AW951" s="526"/>
      <c r="AX951" s="526"/>
      <c r="AY951" s="526"/>
      <c r="AZ951" s="526"/>
      <c r="BA951" s="526"/>
      <c r="BB951" s="526"/>
      <c r="BC951" s="526"/>
      <c r="BD951" s="526"/>
      <c r="BE951" s="526"/>
      <c r="BF951" s="526"/>
      <c r="BG951" s="526"/>
    </row>
    <row r="952" spans="1:59" s="830" customFormat="1" ht="17.25" customHeight="1" x14ac:dyDescent="0.25">
      <c r="A952" s="865"/>
      <c r="B952" s="865"/>
      <c r="C952" s="908"/>
      <c r="G952" s="865"/>
      <c r="H952" s="874"/>
      <c r="I952" s="869"/>
      <c r="J952" s="869"/>
      <c r="K952" s="869"/>
      <c r="L952" s="869"/>
      <c r="M952" s="874"/>
      <c r="O952" s="874"/>
      <c r="P952" s="874"/>
      <c r="Q952" s="874"/>
      <c r="R952" s="874"/>
      <c r="S952" s="874"/>
      <c r="T952" s="874"/>
      <c r="W952" s="874"/>
      <c r="X952" s="874"/>
      <c r="Y952" s="874"/>
      <c r="Z952" s="874"/>
      <c r="AA952" s="874"/>
      <c r="AD952" s="526"/>
      <c r="AE952" s="526"/>
      <c r="AF952" s="526"/>
      <c r="AG952" s="526"/>
      <c r="AH952" s="526"/>
      <c r="AI952" s="526"/>
      <c r="AJ952" s="526"/>
      <c r="AK952" s="526"/>
      <c r="AL952" s="526"/>
      <c r="AM952" s="526"/>
      <c r="AN952" s="526"/>
      <c r="AO952" s="526"/>
      <c r="AP952" s="526"/>
      <c r="AQ952" s="526"/>
      <c r="AR952" s="526"/>
      <c r="AS952" s="526"/>
      <c r="AT952" s="526"/>
      <c r="AU952" s="526"/>
      <c r="AV952" s="526"/>
      <c r="AW952" s="526"/>
      <c r="AX952" s="526"/>
      <c r="AY952" s="526"/>
      <c r="AZ952" s="526"/>
      <c r="BA952" s="526"/>
      <c r="BB952" s="526"/>
      <c r="BC952" s="526"/>
      <c r="BD952" s="526"/>
      <c r="BE952" s="526"/>
      <c r="BF952" s="526"/>
      <c r="BG952" s="526"/>
    </row>
    <row r="953" spans="1:59" s="830" customFormat="1" ht="17.25" customHeight="1" x14ac:dyDescent="0.25">
      <c r="A953" s="865"/>
      <c r="B953" s="865"/>
      <c r="C953" s="908"/>
      <c r="G953" s="865"/>
      <c r="H953" s="874"/>
      <c r="I953" s="869"/>
      <c r="J953" s="869"/>
      <c r="K953" s="869"/>
      <c r="L953" s="869"/>
      <c r="M953" s="874"/>
      <c r="O953" s="874"/>
      <c r="P953" s="874"/>
      <c r="Q953" s="874"/>
      <c r="R953" s="874"/>
      <c r="S953" s="874"/>
      <c r="T953" s="874"/>
      <c r="W953" s="874"/>
      <c r="X953" s="874"/>
      <c r="Y953" s="874"/>
      <c r="Z953" s="874"/>
      <c r="AA953" s="874"/>
      <c r="AD953" s="526"/>
      <c r="AE953" s="526"/>
      <c r="AF953" s="526"/>
      <c r="AG953" s="526"/>
      <c r="AH953" s="526"/>
      <c r="AI953" s="526"/>
      <c r="AJ953" s="526"/>
      <c r="AK953" s="526"/>
      <c r="AL953" s="526"/>
      <c r="AM953" s="526"/>
      <c r="AN953" s="526"/>
      <c r="AO953" s="526"/>
      <c r="AP953" s="526"/>
      <c r="AQ953" s="526"/>
      <c r="AR953" s="526"/>
      <c r="AS953" s="526"/>
      <c r="AT953" s="526"/>
      <c r="AU953" s="526"/>
      <c r="AV953" s="526"/>
      <c r="AW953" s="526"/>
      <c r="AX953" s="526"/>
      <c r="AY953" s="526"/>
      <c r="AZ953" s="526"/>
      <c r="BA953" s="526"/>
      <c r="BB953" s="526"/>
      <c r="BC953" s="526"/>
      <c r="BD953" s="526"/>
      <c r="BE953" s="526"/>
      <c r="BF953" s="526"/>
      <c r="BG953" s="526"/>
    </row>
    <row r="954" spans="1:59" s="830" customFormat="1" ht="17.25" customHeight="1" x14ac:dyDescent="0.25">
      <c r="A954" s="865"/>
      <c r="B954" s="865"/>
      <c r="C954" s="908"/>
      <c r="G954" s="865"/>
      <c r="H954" s="874"/>
      <c r="I954" s="869"/>
      <c r="J954" s="869"/>
      <c r="K954" s="869"/>
      <c r="L954" s="869"/>
      <c r="M954" s="874"/>
      <c r="O954" s="874"/>
      <c r="P954" s="874"/>
      <c r="Q954" s="874"/>
      <c r="R954" s="874"/>
      <c r="S954" s="874"/>
      <c r="T954" s="874"/>
      <c r="W954" s="874"/>
      <c r="X954" s="874"/>
      <c r="Y954" s="874"/>
      <c r="Z954" s="874"/>
      <c r="AA954" s="874"/>
      <c r="AD954" s="526"/>
      <c r="AE954" s="526"/>
      <c r="AF954" s="526"/>
      <c r="AG954" s="526"/>
      <c r="AH954" s="526"/>
      <c r="AI954" s="526"/>
      <c r="AJ954" s="526"/>
      <c r="AK954" s="526"/>
      <c r="AL954" s="526"/>
      <c r="AM954" s="526"/>
      <c r="AN954" s="526"/>
      <c r="AO954" s="526"/>
      <c r="AP954" s="526"/>
      <c r="AQ954" s="526"/>
      <c r="AR954" s="526"/>
      <c r="AS954" s="526"/>
      <c r="AT954" s="526"/>
      <c r="AU954" s="526"/>
      <c r="AV954" s="526"/>
      <c r="AW954" s="526"/>
      <c r="AX954" s="526"/>
      <c r="AY954" s="526"/>
      <c r="AZ954" s="526"/>
      <c r="BA954" s="526"/>
      <c r="BB954" s="526"/>
      <c r="BC954" s="526"/>
      <c r="BD954" s="526"/>
      <c r="BE954" s="526"/>
      <c r="BF954" s="526"/>
      <c r="BG954" s="526"/>
    </row>
    <row r="955" spans="1:59" s="830" customFormat="1" ht="17.25" customHeight="1" x14ac:dyDescent="0.25">
      <c r="A955" s="865"/>
      <c r="B955" s="865"/>
      <c r="C955" s="908"/>
      <c r="G955" s="865"/>
      <c r="H955" s="874"/>
      <c r="I955" s="869"/>
      <c r="J955" s="869"/>
      <c r="K955" s="869"/>
      <c r="L955" s="869"/>
      <c r="M955" s="874"/>
      <c r="O955" s="874"/>
      <c r="P955" s="874"/>
      <c r="Q955" s="874"/>
      <c r="R955" s="874"/>
      <c r="S955" s="874"/>
      <c r="T955" s="874"/>
      <c r="W955" s="874"/>
      <c r="X955" s="874"/>
      <c r="Y955" s="874"/>
      <c r="Z955" s="874"/>
      <c r="AA955" s="874"/>
      <c r="AD955" s="526"/>
      <c r="AE955" s="526"/>
      <c r="AF955" s="526"/>
      <c r="AG955" s="526"/>
      <c r="AH955" s="526"/>
      <c r="AI955" s="526"/>
      <c r="AJ955" s="526"/>
      <c r="AK955" s="526"/>
      <c r="AL955" s="526"/>
      <c r="AM955" s="526"/>
      <c r="AN955" s="526"/>
      <c r="AO955" s="526"/>
      <c r="AP955" s="526"/>
      <c r="AQ955" s="526"/>
      <c r="AR955" s="526"/>
      <c r="AS955" s="526"/>
      <c r="AT955" s="526"/>
      <c r="AU955" s="526"/>
      <c r="AV955" s="526"/>
      <c r="AW955" s="526"/>
      <c r="AX955" s="526"/>
      <c r="AY955" s="526"/>
      <c r="AZ955" s="526"/>
      <c r="BA955" s="526"/>
      <c r="BB955" s="526"/>
      <c r="BC955" s="526"/>
      <c r="BD955" s="526"/>
      <c r="BE955" s="526"/>
      <c r="BF955" s="526"/>
      <c r="BG955" s="526"/>
    </row>
    <row r="956" spans="1:59" s="830" customFormat="1" ht="17.25" customHeight="1" x14ac:dyDescent="0.25">
      <c r="A956" s="865"/>
      <c r="B956" s="865"/>
      <c r="C956" s="908"/>
      <c r="G956" s="865"/>
      <c r="H956" s="874"/>
      <c r="I956" s="869"/>
      <c r="J956" s="869"/>
      <c r="K956" s="869"/>
      <c r="L956" s="869"/>
      <c r="M956" s="874"/>
      <c r="O956" s="874"/>
      <c r="P956" s="874"/>
      <c r="Q956" s="874"/>
      <c r="R956" s="874"/>
      <c r="S956" s="874"/>
      <c r="T956" s="874"/>
      <c r="W956" s="874"/>
      <c r="X956" s="874"/>
      <c r="Y956" s="874"/>
      <c r="Z956" s="874"/>
      <c r="AA956" s="874"/>
      <c r="AD956" s="526"/>
      <c r="AE956" s="526"/>
      <c r="AF956" s="526"/>
      <c r="AG956" s="526"/>
      <c r="AH956" s="526"/>
      <c r="AI956" s="526"/>
      <c r="AJ956" s="526"/>
      <c r="AK956" s="526"/>
      <c r="AL956" s="526"/>
      <c r="AM956" s="526"/>
      <c r="AN956" s="526"/>
      <c r="AO956" s="526"/>
      <c r="AP956" s="526"/>
      <c r="AQ956" s="526"/>
      <c r="AR956" s="526"/>
      <c r="AS956" s="526"/>
      <c r="AT956" s="526"/>
      <c r="AU956" s="526"/>
      <c r="AV956" s="526"/>
      <c r="AW956" s="526"/>
      <c r="AX956" s="526"/>
      <c r="AY956" s="526"/>
      <c r="AZ956" s="526"/>
      <c r="BA956" s="526"/>
      <c r="BB956" s="526"/>
      <c r="BC956" s="526"/>
      <c r="BD956" s="526"/>
      <c r="BE956" s="526"/>
      <c r="BF956" s="526"/>
      <c r="BG956" s="526"/>
    </row>
    <row r="957" spans="1:59" s="830" customFormat="1" ht="17.25" customHeight="1" x14ac:dyDescent="0.25">
      <c r="A957" s="865"/>
      <c r="B957" s="865"/>
      <c r="C957" s="908"/>
      <c r="G957" s="865"/>
      <c r="H957" s="874"/>
      <c r="I957" s="869"/>
      <c r="J957" s="869"/>
      <c r="K957" s="869"/>
      <c r="L957" s="869"/>
      <c r="M957" s="874"/>
      <c r="O957" s="874"/>
      <c r="P957" s="874"/>
      <c r="Q957" s="874"/>
      <c r="R957" s="874"/>
      <c r="S957" s="874"/>
      <c r="T957" s="874"/>
      <c r="W957" s="874"/>
      <c r="X957" s="874"/>
      <c r="Y957" s="874"/>
      <c r="Z957" s="874"/>
      <c r="AA957" s="874"/>
      <c r="AD957" s="526"/>
      <c r="AE957" s="526"/>
      <c r="AF957" s="526"/>
      <c r="AG957" s="526"/>
      <c r="AH957" s="526"/>
      <c r="AI957" s="526"/>
      <c r="AJ957" s="526"/>
      <c r="AK957" s="526"/>
      <c r="AL957" s="526"/>
      <c r="AM957" s="526"/>
      <c r="AN957" s="526"/>
      <c r="AO957" s="526"/>
      <c r="AP957" s="526"/>
      <c r="AQ957" s="526"/>
      <c r="AR957" s="526"/>
      <c r="AS957" s="526"/>
      <c r="AT957" s="526"/>
      <c r="AU957" s="526"/>
      <c r="AV957" s="526"/>
      <c r="AW957" s="526"/>
      <c r="AX957" s="526"/>
      <c r="AY957" s="526"/>
      <c r="AZ957" s="526"/>
      <c r="BA957" s="526"/>
      <c r="BB957" s="526"/>
      <c r="BC957" s="526"/>
      <c r="BD957" s="526"/>
      <c r="BE957" s="526"/>
      <c r="BF957" s="526"/>
      <c r="BG957" s="526"/>
    </row>
    <row r="958" spans="1:59" s="830" customFormat="1" ht="17.25" customHeight="1" x14ac:dyDescent="0.25">
      <c r="A958" s="865"/>
      <c r="B958" s="865"/>
      <c r="C958" s="908"/>
      <c r="G958" s="865"/>
      <c r="H958" s="874"/>
      <c r="I958" s="869"/>
      <c r="J958" s="869"/>
      <c r="K958" s="869"/>
      <c r="L958" s="869"/>
      <c r="M958" s="874"/>
      <c r="O958" s="874"/>
      <c r="P958" s="874"/>
      <c r="Q958" s="874"/>
      <c r="R958" s="874"/>
      <c r="S958" s="874"/>
      <c r="T958" s="874"/>
      <c r="W958" s="874"/>
      <c r="X958" s="874"/>
      <c r="Y958" s="874"/>
      <c r="Z958" s="874"/>
      <c r="AA958" s="874"/>
      <c r="AD958" s="526"/>
      <c r="AE958" s="526"/>
      <c r="AF958" s="526"/>
      <c r="AG958" s="526"/>
      <c r="AH958" s="526"/>
      <c r="AI958" s="526"/>
      <c r="AJ958" s="526"/>
      <c r="AK958" s="526"/>
      <c r="AL958" s="526"/>
      <c r="AM958" s="526"/>
      <c r="AN958" s="526"/>
      <c r="AO958" s="526"/>
      <c r="AP958" s="526"/>
      <c r="AQ958" s="526"/>
      <c r="AR958" s="526"/>
      <c r="AS958" s="526"/>
      <c r="AT958" s="526"/>
      <c r="AU958" s="526"/>
      <c r="AV958" s="526"/>
      <c r="AW958" s="526"/>
      <c r="AX958" s="526"/>
      <c r="AY958" s="526"/>
      <c r="AZ958" s="526"/>
      <c r="BA958" s="526"/>
      <c r="BB958" s="526"/>
      <c r="BC958" s="526"/>
      <c r="BD958" s="526"/>
      <c r="BE958" s="526"/>
      <c r="BF958" s="526"/>
      <c r="BG958" s="526"/>
    </row>
    <row r="959" spans="1:59" s="830" customFormat="1" ht="17.25" customHeight="1" x14ac:dyDescent="0.25">
      <c r="A959" s="865"/>
      <c r="B959" s="865"/>
      <c r="C959" s="908"/>
      <c r="G959" s="865"/>
      <c r="H959" s="874"/>
      <c r="I959" s="869"/>
      <c r="J959" s="869"/>
      <c r="K959" s="869"/>
      <c r="L959" s="869"/>
      <c r="M959" s="874"/>
      <c r="O959" s="874"/>
      <c r="P959" s="874"/>
      <c r="Q959" s="874"/>
      <c r="R959" s="874"/>
      <c r="S959" s="874"/>
      <c r="T959" s="874"/>
      <c r="W959" s="874"/>
      <c r="X959" s="874"/>
      <c r="Y959" s="874"/>
      <c r="Z959" s="874"/>
      <c r="AA959" s="874"/>
      <c r="AD959" s="526"/>
      <c r="AE959" s="526"/>
      <c r="AF959" s="526"/>
      <c r="AG959" s="526"/>
      <c r="AH959" s="526"/>
      <c r="AI959" s="526"/>
      <c r="AJ959" s="526"/>
      <c r="AK959" s="526"/>
      <c r="AL959" s="526"/>
      <c r="AM959" s="526"/>
      <c r="AN959" s="526"/>
      <c r="AO959" s="526"/>
      <c r="AP959" s="526"/>
      <c r="AQ959" s="526"/>
      <c r="AR959" s="526"/>
      <c r="AS959" s="526"/>
      <c r="AT959" s="526"/>
      <c r="AU959" s="526"/>
      <c r="AV959" s="526"/>
      <c r="AW959" s="526"/>
      <c r="AX959" s="526"/>
      <c r="AY959" s="526"/>
      <c r="AZ959" s="526"/>
      <c r="BA959" s="526"/>
      <c r="BB959" s="526"/>
      <c r="BC959" s="526"/>
      <c r="BD959" s="526"/>
      <c r="BE959" s="526"/>
      <c r="BF959" s="526"/>
      <c r="BG959" s="526"/>
    </row>
    <row r="960" spans="1:59" s="830" customFormat="1" ht="17.25" customHeight="1" x14ac:dyDescent="0.25">
      <c r="A960" s="865"/>
      <c r="B960" s="865"/>
      <c r="C960" s="908"/>
      <c r="G960" s="865"/>
      <c r="H960" s="874"/>
      <c r="I960" s="869"/>
      <c r="J960" s="869"/>
      <c r="K960" s="869"/>
      <c r="L960" s="869"/>
      <c r="M960" s="874"/>
      <c r="O960" s="874"/>
      <c r="P960" s="874"/>
      <c r="Q960" s="874"/>
      <c r="R960" s="874"/>
      <c r="S960" s="874"/>
      <c r="T960" s="874"/>
      <c r="W960" s="874"/>
      <c r="X960" s="874"/>
      <c r="Y960" s="874"/>
      <c r="Z960" s="874"/>
      <c r="AA960" s="874"/>
      <c r="AD960" s="526"/>
      <c r="AE960" s="526"/>
      <c r="AF960" s="526"/>
      <c r="AG960" s="526"/>
      <c r="AH960" s="526"/>
      <c r="AI960" s="526"/>
      <c r="AJ960" s="526"/>
      <c r="AK960" s="526"/>
      <c r="AL960" s="526"/>
      <c r="AM960" s="526"/>
      <c r="AN960" s="526"/>
      <c r="AO960" s="526"/>
      <c r="AP960" s="526"/>
      <c r="AQ960" s="526"/>
      <c r="AR960" s="526"/>
      <c r="AS960" s="526"/>
      <c r="AT960" s="526"/>
      <c r="AU960" s="526"/>
      <c r="AV960" s="526"/>
      <c r="AW960" s="526"/>
      <c r="AX960" s="526"/>
      <c r="AY960" s="526"/>
      <c r="AZ960" s="526"/>
      <c r="BA960" s="526"/>
      <c r="BB960" s="526"/>
      <c r="BC960" s="526"/>
      <c r="BD960" s="526"/>
      <c r="BE960" s="526"/>
      <c r="BF960" s="526"/>
      <c r="BG960" s="526"/>
    </row>
    <row r="961" spans="1:59" s="830" customFormat="1" ht="17.25" customHeight="1" x14ac:dyDescent="0.25">
      <c r="A961" s="865"/>
      <c r="B961" s="865"/>
      <c r="C961" s="908"/>
      <c r="G961" s="865"/>
      <c r="H961" s="874"/>
      <c r="I961" s="869"/>
      <c r="J961" s="869"/>
      <c r="K961" s="869"/>
      <c r="L961" s="869"/>
      <c r="M961" s="874"/>
      <c r="O961" s="874"/>
      <c r="P961" s="874"/>
      <c r="Q961" s="874"/>
      <c r="R961" s="874"/>
      <c r="S961" s="874"/>
      <c r="T961" s="874"/>
      <c r="W961" s="874"/>
      <c r="X961" s="874"/>
      <c r="Y961" s="874"/>
      <c r="Z961" s="874"/>
      <c r="AA961" s="874"/>
      <c r="AD961" s="526"/>
      <c r="AE961" s="526"/>
      <c r="AF961" s="526"/>
      <c r="AG961" s="526"/>
      <c r="AH961" s="526"/>
      <c r="AI961" s="526"/>
      <c r="AJ961" s="526"/>
      <c r="AK961" s="526"/>
      <c r="AL961" s="526"/>
      <c r="AM961" s="526"/>
      <c r="AN961" s="526"/>
      <c r="AO961" s="526"/>
      <c r="AP961" s="526"/>
      <c r="AQ961" s="526"/>
      <c r="AR961" s="526"/>
      <c r="AS961" s="526"/>
      <c r="AT961" s="526"/>
      <c r="AU961" s="526"/>
      <c r="AV961" s="526"/>
      <c r="AW961" s="526"/>
      <c r="AX961" s="526"/>
      <c r="AY961" s="526"/>
      <c r="AZ961" s="526"/>
      <c r="BA961" s="526"/>
      <c r="BB961" s="526"/>
      <c r="BC961" s="526"/>
      <c r="BD961" s="526"/>
      <c r="BE961" s="526"/>
      <c r="BF961" s="526"/>
      <c r="BG961" s="526"/>
    </row>
    <row r="962" spans="1:59" s="830" customFormat="1" ht="17.25" customHeight="1" x14ac:dyDescent="0.25">
      <c r="A962" s="865"/>
      <c r="B962" s="865"/>
      <c r="C962" s="908"/>
      <c r="G962" s="865"/>
      <c r="H962" s="874"/>
      <c r="I962" s="869"/>
      <c r="J962" s="869"/>
      <c r="K962" s="869"/>
      <c r="L962" s="869"/>
      <c r="M962" s="874"/>
      <c r="O962" s="874"/>
      <c r="P962" s="874"/>
      <c r="Q962" s="874"/>
      <c r="R962" s="874"/>
      <c r="S962" s="874"/>
      <c r="T962" s="874"/>
      <c r="W962" s="874"/>
      <c r="X962" s="874"/>
      <c r="Y962" s="874"/>
      <c r="Z962" s="874"/>
      <c r="AA962" s="874"/>
      <c r="AD962" s="526"/>
      <c r="AE962" s="526"/>
      <c r="AF962" s="526"/>
      <c r="AG962" s="526"/>
      <c r="AH962" s="526"/>
      <c r="AI962" s="526"/>
      <c r="AJ962" s="526"/>
      <c r="AK962" s="526"/>
      <c r="AL962" s="526"/>
      <c r="AM962" s="526"/>
      <c r="AN962" s="526"/>
      <c r="AO962" s="526"/>
      <c r="AP962" s="526"/>
      <c r="AQ962" s="526"/>
      <c r="AR962" s="526"/>
      <c r="AS962" s="526"/>
      <c r="AT962" s="526"/>
      <c r="AU962" s="526"/>
      <c r="AV962" s="526"/>
      <c r="AW962" s="526"/>
      <c r="AX962" s="526"/>
      <c r="AY962" s="526"/>
      <c r="AZ962" s="526"/>
      <c r="BA962" s="526"/>
      <c r="BB962" s="526"/>
      <c r="BC962" s="526"/>
      <c r="BD962" s="526"/>
      <c r="BE962" s="526"/>
      <c r="BF962" s="526"/>
      <c r="BG962" s="526"/>
    </row>
    <row r="963" spans="1:59" s="830" customFormat="1" ht="17.25" customHeight="1" x14ac:dyDescent="0.25">
      <c r="A963" s="865"/>
      <c r="B963" s="865"/>
      <c r="C963" s="908"/>
      <c r="G963" s="865"/>
      <c r="H963" s="874"/>
      <c r="I963" s="869"/>
      <c r="J963" s="869"/>
      <c r="K963" s="869"/>
      <c r="L963" s="869"/>
      <c r="M963" s="874"/>
      <c r="O963" s="874"/>
      <c r="P963" s="874"/>
      <c r="Q963" s="874"/>
      <c r="R963" s="874"/>
      <c r="S963" s="874"/>
      <c r="T963" s="874"/>
      <c r="W963" s="874"/>
      <c r="X963" s="874"/>
      <c r="Y963" s="874"/>
      <c r="Z963" s="874"/>
      <c r="AA963" s="874"/>
      <c r="AD963" s="526"/>
      <c r="AE963" s="526"/>
      <c r="AF963" s="526"/>
      <c r="AG963" s="526"/>
      <c r="AH963" s="526"/>
      <c r="AI963" s="526"/>
      <c r="AJ963" s="526"/>
      <c r="AK963" s="526"/>
      <c r="AL963" s="526"/>
      <c r="AM963" s="526"/>
      <c r="AN963" s="526"/>
      <c r="AO963" s="526"/>
      <c r="AP963" s="526"/>
      <c r="AQ963" s="526"/>
      <c r="AR963" s="526"/>
      <c r="AS963" s="526"/>
      <c r="AT963" s="526"/>
      <c r="AU963" s="526"/>
      <c r="AV963" s="526"/>
      <c r="AW963" s="526"/>
      <c r="AX963" s="526"/>
      <c r="AY963" s="526"/>
      <c r="AZ963" s="526"/>
      <c r="BA963" s="526"/>
      <c r="BB963" s="526"/>
      <c r="BC963" s="526"/>
      <c r="BD963" s="526"/>
      <c r="BE963" s="526"/>
      <c r="BF963" s="526"/>
      <c r="BG963" s="526"/>
    </row>
    <row r="964" spans="1:59" s="830" customFormat="1" ht="17.25" customHeight="1" x14ac:dyDescent="0.25">
      <c r="A964" s="865"/>
      <c r="B964" s="865"/>
      <c r="C964" s="908"/>
      <c r="G964" s="865"/>
      <c r="H964" s="874"/>
      <c r="I964" s="869"/>
      <c r="J964" s="869"/>
      <c r="K964" s="869"/>
      <c r="L964" s="869"/>
      <c r="M964" s="874"/>
      <c r="O964" s="874"/>
      <c r="P964" s="874"/>
      <c r="Q964" s="874"/>
      <c r="R964" s="874"/>
      <c r="S964" s="874"/>
      <c r="T964" s="874"/>
      <c r="W964" s="874"/>
      <c r="X964" s="874"/>
      <c r="Y964" s="874"/>
      <c r="Z964" s="874"/>
      <c r="AA964" s="874"/>
      <c r="AD964" s="526"/>
      <c r="AE964" s="526"/>
      <c r="AF964" s="526"/>
      <c r="AG964" s="526"/>
      <c r="AH964" s="526"/>
      <c r="AI964" s="526"/>
      <c r="AJ964" s="526"/>
      <c r="AK964" s="526"/>
      <c r="AL964" s="526"/>
      <c r="AM964" s="526"/>
      <c r="AN964" s="526"/>
      <c r="AO964" s="526"/>
      <c r="AP964" s="526"/>
      <c r="AQ964" s="526"/>
      <c r="AR964" s="526"/>
      <c r="AS964" s="526"/>
      <c r="AT964" s="526"/>
      <c r="AU964" s="526"/>
      <c r="AV964" s="526"/>
      <c r="AW964" s="526"/>
      <c r="AX964" s="526"/>
      <c r="AY964" s="526"/>
      <c r="AZ964" s="526"/>
      <c r="BA964" s="526"/>
      <c r="BB964" s="526"/>
      <c r="BC964" s="526"/>
      <c r="BD964" s="526"/>
      <c r="BE964" s="526"/>
      <c r="BF964" s="526"/>
      <c r="BG964" s="526"/>
    </row>
    <row r="965" spans="1:59" s="830" customFormat="1" ht="17.25" customHeight="1" x14ac:dyDescent="0.25">
      <c r="A965" s="865"/>
      <c r="B965" s="865"/>
      <c r="C965" s="908"/>
      <c r="G965" s="865"/>
      <c r="H965" s="874"/>
      <c r="I965" s="869"/>
      <c r="J965" s="869"/>
      <c r="K965" s="869"/>
      <c r="L965" s="869"/>
      <c r="M965" s="874"/>
      <c r="O965" s="874"/>
      <c r="P965" s="874"/>
      <c r="Q965" s="874"/>
      <c r="R965" s="874"/>
      <c r="S965" s="874"/>
      <c r="T965" s="874"/>
      <c r="W965" s="874"/>
      <c r="X965" s="874"/>
      <c r="Y965" s="874"/>
      <c r="Z965" s="874"/>
      <c r="AA965" s="874"/>
      <c r="AD965" s="526"/>
      <c r="AE965" s="526"/>
      <c r="AF965" s="526"/>
      <c r="AG965" s="526"/>
      <c r="AH965" s="526"/>
      <c r="AI965" s="526"/>
      <c r="AJ965" s="526"/>
      <c r="AK965" s="526"/>
      <c r="AL965" s="526"/>
      <c r="AM965" s="526"/>
      <c r="AN965" s="526"/>
      <c r="AO965" s="526"/>
      <c r="AP965" s="526"/>
      <c r="AQ965" s="526"/>
      <c r="AR965" s="526"/>
      <c r="AS965" s="526"/>
      <c r="AT965" s="526"/>
      <c r="AU965" s="526"/>
      <c r="AV965" s="526"/>
      <c r="AW965" s="526"/>
      <c r="AX965" s="526"/>
      <c r="AY965" s="526"/>
      <c r="AZ965" s="526"/>
      <c r="BA965" s="526"/>
      <c r="BB965" s="526"/>
      <c r="BC965" s="526"/>
      <c r="BD965" s="526"/>
      <c r="BE965" s="526"/>
      <c r="BF965" s="526"/>
      <c r="BG965" s="526"/>
    </row>
    <row r="966" spans="1:59" s="830" customFormat="1" ht="17.25" customHeight="1" x14ac:dyDescent="0.25">
      <c r="A966" s="865"/>
      <c r="B966" s="865"/>
      <c r="C966" s="908"/>
      <c r="G966" s="865"/>
      <c r="H966" s="874"/>
      <c r="I966" s="869"/>
      <c r="J966" s="869"/>
      <c r="K966" s="869"/>
      <c r="L966" s="869"/>
      <c r="M966" s="874"/>
      <c r="O966" s="874"/>
      <c r="P966" s="874"/>
      <c r="Q966" s="874"/>
      <c r="R966" s="874"/>
      <c r="S966" s="874"/>
      <c r="T966" s="874"/>
      <c r="W966" s="874"/>
      <c r="X966" s="874"/>
      <c r="Y966" s="874"/>
      <c r="Z966" s="874"/>
      <c r="AA966" s="874"/>
      <c r="AD966" s="526"/>
      <c r="AE966" s="526"/>
      <c r="AF966" s="526"/>
      <c r="AG966" s="526"/>
      <c r="AH966" s="526"/>
      <c r="AI966" s="526"/>
      <c r="AJ966" s="526"/>
      <c r="AK966" s="526"/>
      <c r="AL966" s="526"/>
      <c r="AM966" s="526"/>
      <c r="AN966" s="526"/>
      <c r="AO966" s="526"/>
      <c r="AP966" s="526"/>
      <c r="AQ966" s="526"/>
      <c r="AR966" s="526"/>
      <c r="AS966" s="526"/>
      <c r="AT966" s="526"/>
      <c r="AU966" s="526"/>
      <c r="AV966" s="526"/>
      <c r="AW966" s="526"/>
      <c r="AX966" s="526"/>
      <c r="AY966" s="526"/>
      <c r="AZ966" s="526"/>
      <c r="BA966" s="526"/>
      <c r="BB966" s="526"/>
      <c r="BC966" s="526"/>
      <c r="BD966" s="526"/>
      <c r="BE966" s="526"/>
      <c r="BF966" s="526"/>
      <c r="BG966" s="526"/>
    </row>
    <row r="967" spans="1:59" s="830" customFormat="1" ht="17.25" customHeight="1" x14ac:dyDescent="0.25">
      <c r="A967" s="865"/>
      <c r="B967" s="865"/>
      <c r="C967" s="908"/>
      <c r="G967" s="865"/>
      <c r="H967" s="874"/>
      <c r="I967" s="869"/>
      <c r="J967" s="869"/>
      <c r="K967" s="869"/>
      <c r="L967" s="869"/>
      <c r="M967" s="874"/>
      <c r="O967" s="874"/>
      <c r="P967" s="874"/>
      <c r="Q967" s="874"/>
      <c r="R967" s="874"/>
      <c r="S967" s="874"/>
      <c r="T967" s="874"/>
      <c r="W967" s="874"/>
      <c r="X967" s="874"/>
      <c r="Y967" s="874"/>
      <c r="Z967" s="874"/>
      <c r="AA967" s="874"/>
      <c r="AD967" s="526"/>
      <c r="AE967" s="526"/>
      <c r="AF967" s="526"/>
      <c r="AG967" s="526"/>
      <c r="AH967" s="526"/>
      <c r="AI967" s="526"/>
      <c r="AJ967" s="526"/>
      <c r="AK967" s="526"/>
      <c r="AL967" s="526"/>
      <c r="AM967" s="526"/>
      <c r="AN967" s="526"/>
      <c r="AO967" s="526"/>
      <c r="AP967" s="526"/>
      <c r="AQ967" s="526"/>
      <c r="AR967" s="526"/>
      <c r="AS967" s="526"/>
      <c r="AT967" s="526"/>
      <c r="AU967" s="526"/>
      <c r="AV967" s="526"/>
      <c r="AW967" s="526"/>
      <c r="AX967" s="526"/>
      <c r="AY967" s="526"/>
      <c r="AZ967" s="526"/>
      <c r="BA967" s="526"/>
      <c r="BB967" s="526"/>
      <c r="BC967" s="526"/>
      <c r="BD967" s="526"/>
      <c r="BE967" s="526"/>
      <c r="BF967" s="526"/>
      <c r="BG967" s="526"/>
    </row>
    <row r="968" spans="1:59" s="830" customFormat="1" ht="17.25" customHeight="1" x14ac:dyDescent="0.25">
      <c r="A968" s="865"/>
      <c r="B968" s="865"/>
      <c r="C968" s="908"/>
      <c r="G968" s="865"/>
      <c r="H968" s="874"/>
      <c r="I968" s="869"/>
      <c r="J968" s="869"/>
      <c r="K968" s="869"/>
      <c r="L968" s="869"/>
      <c r="M968" s="874"/>
      <c r="O968" s="874"/>
      <c r="P968" s="874"/>
      <c r="Q968" s="874"/>
      <c r="R968" s="874"/>
      <c r="S968" s="874"/>
      <c r="T968" s="874"/>
      <c r="W968" s="874"/>
      <c r="X968" s="874"/>
      <c r="Y968" s="874"/>
      <c r="Z968" s="874"/>
      <c r="AA968" s="874"/>
      <c r="AD968" s="526"/>
      <c r="AE968" s="526"/>
      <c r="AF968" s="526"/>
      <c r="AG968" s="526"/>
      <c r="AH968" s="526"/>
      <c r="AI968" s="526"/>
      <c r="AJ968" s="526"/>
      <c r="AK968" s="526"/>
      <c r="AL968" s="526"/>
      <c r="AM968" s="526"/>
      <c r="AN968" s="526"/>
      <c r="AO968" s="526"/>
      <c r="AP968" s="526"/>
      <c r="AQ968" s="526"/>
      <c r="AR968" s="526"/>
      <c r="AS968" s="526"/>
      <c r="AT968" s="526"/>
      <c r="AU968" s="526"/>
      <c r="AV968" s="526"/>
      <c r="AW968" s="526"/>
      <c r="AX968" s="526"/>
      <c r="AY968" s="526"/>
      <c r="AZ968" s="526"/>
      <c r="BA968" s="526"/>
      <c r="BB968" s="526"/>
      <c r="BC968" s="526"/>
      <c r="BD968" s="526"/>
      <c r="BE968" s="526"/>
      <c r="BF968" s="526"/>
      <c r="BG968" s="526"/>
    </row>
    <row r="969" spans="1:59" s="830" customFormat="1" ht="17.25" customHeight="1" x14ac:dyDescent="0.25">
      <c r="A969" s="865"/>
      <c r="B969" s="865"/>
      <c r="C969" s="908"/>
      <c r="G969" s="865"/>
      <c r="H969" s="874"/>
      <c r="I969" s="869"/>
      <c r="J969" s="869"/>
      <c r="K969" s="869"/>
      <c r="L969" s="869"/>
      <c r="M969" s="874"/>
      <c r="O969" s="874"/>
      <c r="P969" s="874"/>
      <c r="Q969" s="874"/>
      <c r="R969" s="874"/>
      <c r="S969" s="874"/>
      <c r="T969" s="874"/>
      <c r="W969" s="874"/>
      <c r="X969" s="874"/>
      <c r="Y969" s="874"/>
      <c r="Z969" s="874"/>
      <c r="AA969" s="874"/>
      <c r="AD969" s="526"/>
      <c r="AE969" s="526"/>
      <c r="AF969" s="526"/>
      <c r="AG969" s="526"/>
      <c r="AH969" s="526"/>
      <c r="AI969" s="526"/>
      <c r="AJ969" s="526"/>
      <c r="AK969" s="526"/>
      <c r="AL969" s="526"/>
      <c r="AM969" s="526"/>
      <c r="AN969" s="526"/>
      <c r="AO969" s="526"/>
      <c r="AP969" s="526"/>
      <c r="AQ969" s="526"/>
      <c r="AR969" s="526"/>
      <c r="AS969" s="526"/>
      <c r="AT969" s="526"/>
      <c r="AU969" s="526"/>
      <c r="AV969" s="526"/>
      <c r="AW969" s="526"/>
      <c r="AX969" s="526"/>
      <c r="AY969" s="526"/>
      <c r="AZ969" s="526"/>
      <c r="BA969" s="526"/>
      <c r="BB969" s="526"/>
      <c r="BC969" s="526"/>
      <c r="BD969" s="526"/>
      <c r="BE969" s="526"/>
      <c r="BF969" s="526"/>
      <c r="BG969" s="526"/>
    </row>
    <row r="970" spans="1:59" s="830" customFormat="1" ht="17.25" customHeight="1" x14ac:dyDescent="0.25">
      <c r="A970" s="865"/>
      <c r="B970" s="865"/>
      <c r="C970" s="908"/>
      <c r="G970" s="865"/>
      <c r="H970" s="874"/>
      <c r="I970" s="869"/>
      <c r="J970" s="869"/>
      <c r="K970" s="869"/>
      <c r="L970" s="869"/>
      <c r="M970" s="874"/>
      <c r="O970" s="874"/>
      <c r="P970" s="874"/>
      <c r="Q970" s="874"/>
      <c r="R970" s="874"/>
      <c r="S970" s="874"/>
      <c r="T970" s="874"/>
      <c r="W970" s="874"/>
      <c r="X970" s="874"/>
      <c r="Y970" s="874"/>
      <c r="Z970" s="874"/>
      <c r="AA970" s="874"/>
      <c r="AD970" s="526"/>
      <c r="AE970" s="526"/>
      <c r="AF970" s="526"/>
      <c r="AG970" s="526"/>
      <c r="AH970" s="526"/>
      <c r="AI970" s="526"/>
      <c r="AJ970" s="526"/>
      <c r="AK970" s="526"/>
      <c r="AL970" s="526"/>
      <c r="AM970" s="526"/>
      <c r="AN970" s="526"/>
      <c r="AO970" s="526"/>
      <c r="AP970" s="526"/>
      <c r="AQ970" s="526"/>
      <c r="AR970" s="526"/>
      <c r="AS970" s="526"/>
      <c r="AT970" s="526"/>
      <c r="AU970" s="526"/>
      <c r="AV970" s="526"/>
      <c r="AW970" s="526"/>
      <c r="AX970" s="526"/>
      <c r="AY970" s="526"/>
      <c r="AZ970" s="526"/>
      <c r="BA970" s="526"/>
      <c r="BB970" s="526"/>
      <c r="BC970" s="526"/>
      <c r="BD970" s="526"/>
      <c r="BE970" s="526"/>
      <c r="BF970" s="526"/>
      <c r="BG970" s="526"/>
    </row>
    <row r="971" spans="1:59" s="830" customFormat="1" ht="17.25" customHeight="1" x14ac:dyDescent="0.25">
      <c r="A971" s="865"/>
      <c r="B971" s="865"/>
      <c r="C971" s="908"/>
      <c r="G971" s="865"/>
      <c r="H971" s="874"/>
      <c r="I971" s="869"/>
      <c r="J971" s="869"/>
      <c r="K971" s="869"/>
      <c r="L971" s="869"/>
      <c r="M971" s="874"/>
      <c r="O971" s="874"/>
      <c r="P971" s="874"/>
      <c r="Q971" s="874"/>
      <c r="R971" s="874"/>
      <c r="S971" s="874"/>
      <c r="T971" s="874"/>
      <c r="W971" s="874"/>
      <c r="X971" s="874"/>
      <c r="Y971" s="874"/>
      <c r="Z971" s="874"/>
      <c r="AA971" s="874"/>
      <c r="AD971" s="526"/>
      <c r="AE971" s="526"/>
      <c r="AF971" s="526"/>
      <c r="AG971" s="526"/>
      <c r="AH971" s="526"/>
      <c r="AI971" s="526"/>
      <c r="AJ971" s="526"/>
      <c r="AK971" s="526"/>
      <c r="AL971" s="526"/>
      <c r="AM971" s="526"/>
      <c r="AN971" s="526"/>
      <c r="AO971" s="526"/>
      <c r="AP971" s="526"/>
      <c r="AQ971" s="526"/>
      <c r="AR971" s="526"/>
      <c r="AS971" s="526"/>
      <c r="AT971" s="526"/>
      <c r="AU971" s="526"/>
      <c r="AV971" s="526"/>
      <c r="AW971" s="526"/>
      <c r="AX971" s="526"/>
      <c r="AY971" s="526"/>
      <c r="AZ971" s="526"/>
      <c r="BA971" s="526"/>
      <c r="BB971" s="526"/>
      <c r="BC971" s="526"/>
      <c r="BD971" s="526"/>
      <c r="BE971" s="526"/>
      <c r="BF971" s="526"/>
      <c r="BG971" s="526"/>
    </row>
    <row r="972" spans="1:59" s="830" customFormat="1" ht="17.25" customHeight="1" x14ac:dyDescent="0.25">
      <c r="A972" s="865"/>
      <c r="B972" s="865"/>
      <c r="C972" s="908"/>
      <c r="G972" s="865"/>
      <c r="H972" s="874"/>
      <c r="I972" s="869"/>
      <c r="J972" s="869"/>
      <c r="K972" s="869"/>
      <c r="L972" s="869"/>
      <c r="M972" s="874"/>
      <c r="O972" s="874"/>
      <c r="P972" s="874"/>
      <c r="Q972" s="874"/>
      <c r="R972" s="874"/>
      <c r="S972" s="874"/>
      <c r="T972" s="874"/>
      <c r="W972" s="874"/>
      <c r="X972" s="874"/>
      <c r="Y972" s="874"/>
      <c r="Z972" s="874"/>
      <c r="AA972" s="874"/>
      <c r="AD972" s="526"/>
      <c r="AE972" s="526"/>
      <c r="AF972" s="526"/>
      <c r="AG972" s="526"/>
      <c r="AH972" s="526"/>
      <c r="AI972" s="526"/>
      <c r="AJ972" s="526"/>
      <c r="AK972" s="526"/>
      <c r="AL972" s="526"/>
      <c r="AM972" s="526"/>
      <c r="AN972" s="526"/>
      <c r="AO972" s="526"/>
      <c r="AP972" s="526"/>
      <c r="AQ972" s="526"/>
      <c r="AR972" s="526"/>
      <c r="AS972" s="526"/>
      <c r="AT972" s="526"/>
      <c r="AU972" s="526"/>
      <c r="AV972" s="526"/>
      <c r="AW972" s="526"/>
      <c r="AX972" s="526"/>
      <c r="AY972" s="526"/>
      <c r="AZ972" s="526"/>
      <c r="BA972" s="526"/>
      <c r="BB972" s="526"/>
      <c r="BC972" s="526"/>
      <c r="BD972" s="526"/>
      <c r="BE972" s="526"/>
      <c r="BF972" s="526"/>
      <c r="BG972" s="526"/>
    </row>
    <row r="973" spans="1:59" s="830" customFormat="1" ht="17.25" customHeight="1" x14ac:dyDescent="0.25">
      <c r="A973" s="865"/>
      <c r="B973" s="865"/>
      <c r="C973" s="908"/>
      <c r="G973" s="865"/>
      <c r="H973" s="874"/>
      <c r="I973" s="869"/>
      <c r="J973" s="869"/>
      <c r="K973" s="869"/>
      <c r="L973" s="869"/>
      <c r="M973" s="874"/>
      <c r="O973" s="874"/>
      <c r="P973" s="874"/>
      <c r="Q973" s="874"/>
      <c r="R973" s="874"/>
      <c r="S973" s="874"/>
      <c r="T973" s="874"/>
      <c r="W973" s="874"/>
      <c r="X973" s="874"/>
      <c r="Y973" s="874"/>
      <c r="Z973" s="874"/>
      <c r="AA973" s="874"/>
      <c r="AD973" s="526"/>
      <c r="AE973" s="526"/>
      <c r="AF973" s="526"/>
      <c r="AG973" s="526"/>
      <c r="AH973" s="526"/>
      <c r="AI973" s="526"/>
      <c r="AJ973" s="526"/>
      <c r="AK973" s="526"/>
      <c r="AL973" s="526"/>
      <c r="AM973" s="526"/>
      <c r="AN973" s="526"/>
      <c r="AO973" s="526"/>
      <c r="AP973" s="526"/>
      <c r="AQ973" s="526"/>
      <c r="AR973" s="526"/>
      <c r="AS973" s="526"/>
      <c r="AT973" s="526"/>
      <c r="AU973" s="526"/>
      <c r="AV973" s="526"/>
      <c r="AW973" s="526"/>
      <c r="AX973" s="526"/>
      <c r="AY973" s="526"/>
      <c r="AZ973" s="526"/>
      <c r="BA973" s="526"/>
      <c r="BB973" s="526"/>
      <c r="BC973" s="526"/>
      <c r="BD973" s="526"/>
      <c r="BE973" s="526"/>
      <c r="BF973" s="526"/>
      <c r="BG973" s="526"/>
    </row>
    <row r="974" spans="1:59" s="830" customFormat="1" ht="17.25" customHeight="1" x14ac:dyDescent="0.25">
      <c r="A974" s="865"/>
      <c r="B974" s="865"/>
      <c r="C974" s="908"/>
      <c r="G974" s="865"/>
      <c r="H974" s="874"/>
      <c r="I974" s="869"/>
      <c r="J974" s="869"/>
      <c r="K974" s="869"/>
      <c r="L974" s="869"/>
      <c r="M974" s="874"/>
      <c r="O974" s="874"/>
      <c r="P974" s="874"/>
      <c r="Q974" s="874"/>
      <c r="R974" s="874"/>
      <c r="S974" s="874"/>
      <c r="T974" s="874"/>
      <c r="W974" s="874"/>
      <c r="X974" s="874"/>
      <c r="Y974" s="874"/>
      <c r="Z974" s="874"/>
      <c r="AA974" s="874"/>
      <c r="AD974" s="526"/>
      <c r="AE974" s="526"/>
      <c r="AF974" s="526"/>
      <c r="AG974" s="526"/>
      <c r="AH974" s="526"/>
      <c r="AI974" s="526"/>
      <c r="AJ974" s="526"/>
      <c r="AK974" s="526"/>
      <c r="AL974" s="526"/>
      <c r="AM974" s="526"/>
      <c r="AN974" s="526"/>
      <c r="AO974" s="526"/>
      <c r="AP974" s="526"/>
      <c r="AQ974" s="526"/>
      <c r="AR974" s="526"/>
      <c r="AS974" s="526"/>
      <c r="AT974" s="526"/>
      <c r="AU974" s="526"/>
      <c r="AV974" s="526"/>
      <c r="AW974" s="526"/>
      <c r="AX974" s="526"/>
      <c r="AY974" s="526"/>
      <c r="AZ974" s="526"/>
      <c r="BA974" s="526"/>
      <c r="BB974" s="526"/>
      <c r="BC974" s="526"/>
      <c r="BD974" s="526"/>
      <c r="BE974" s="526"/>
      <c r="BF974" s="526"/>
      <c r="BG974" s="526"/>
    </row>
    <row r="975" spans="1:59" s="830" customFormat="1" ht="17.25" customHeight="1" x14ac:dyDescent="0.25">
      <c r="A975" s="865"/>
      <c r="B975" s="865"/>
      <c r="C975" s="908"/>
      <c r="G975" s="865"/>
      <c r="H975" s="874"/>
      <c r="I975" s="869"/>
      <c r="J975" s="869"/>
      <c r="K975" s="869"/>
      <c r="L975" s="869"/>
      <c r="M975" s="874"/>
      <c r="O975" s="874"/>
      <c r="P975" s="874"/>
      <c r="Q975" s="874"/>
      <c r="R975" s="874"/>
      <c r="S975" s="874"/>
      <c r="T975" s="874"/>
      <c r="W975" s="874"/>
      <c r="X975" s="874"/>
      <c r="Y975" s="874"/>
      <c r="Z975" s="874"/>
      <c r="AA975" s="874"/>
      <c r="AD975" s="526"/>
      <c r="AE975" s="526"/>
      <c r="AF975" s="526"/>
      <c r="AG975" s="526"/>
      <c r="AH975" s="526"/>
      <c r="AI975" s="526"/>
      <c r="AJ975" s="526"/>
      <c r="AK975" s="526"/>
      <c r="AL975" s="526"/>
      <c r="AM975" s="526"/>
      <c r="AN975" s="526"/>
      <c r="AO975" s="526"/>
      <c r="AP975" s="526"/>
      <c r="AQ975" s="526"/>
      <c r="AR975" s="526"/>
      <c r="AS975" s="526"/>
      <c r="AT975" s="526"/>
      <c r="AU975" s="526"/>
      <c r="AV975" s="526"/>
      <c r="AW975" s="526"/>
      <c r="AX975" s="526"/>
      <c r="AY975" s="526"/>
      <c r="AZ975" s="526"/>
      <c r="BA975" s="526"/>
      <c r="BB975" s="526"/>
      <c r="BC975" s="526"/>
      <c r="BD975" s="526"/>
      <c r="BE975" s="526"/>
      <c r="BF975" s="526"/>
      <c r="BG975" s="526"/>
    </row>
    <row r="976" spans="1:59" s="830" customFormat="1" ht="17.25" customHeight="1" x14ac:dyDescent="0.25">
      <c r="A976" s="865"/>
      <c r="B976" s="865"/>
      <c r="C976" s="908"/>
      <c r="G976" s="865"/>
      <c r="H976" s="874"/>
      <c r="I976" s="869"/>
      <c r="J976" s="869"/>
      <c r="K976" s="869"/>
      <c r="L976" s="869"/>
      <c r="M976" s="874"/>
      <c r="O976" s="874"/>
      <c r="P976" s="874"/>
      <c r="Q976" s="874"/>
      <c r="R976" s="874"/>
      <c r="S976" s="874"/>
      <c r="T976" s="874"/>
      <c r="W976" s="874"/>
      <c r="X976" s="874"/>
      <c r="Y976" s="874"/>
      <c r="Z976" s="874"/>
      <c r="AA976" s="874"/>
      <c r="AD976" s="526"/>
      <c r="AE976" s="526"/>
      <c r="AF976" s="526"/>
      <c r="AG976" s="526"/>
      <c r="AH976" s="526"/>
      <c r="AI976" s="526"/>
      <c r="AJ976" s="526"/>
      <c r="AK976" s="526"/>
      <c r="AL976" s="526"/>
      <c r="AM976" s="526"/>
      <c r="AN976" s="526"/>
      <c r="AO976" s="526"/>
      <c r="AP976" s="526"/>
      <c r="AQ976" s="526"/>
      <c r="AR976" s="526"/>
      <c r="AS976" s="526"/>
      <c r="AT976" s="526"/>
      <c r="AU976" s="526"/>
      <c r="AV976" s="526"/>
      <c r="AW976" s="526"/>
      <c r="AX976" s="526"/>
      <c r="AY976" s="526"/>
      <c r="AZ976" s="526"/>
      <c r="BA976" s="526"/>
      <c r="BB976" s="526"/>
      <c r="BC976" s="526"/>
      <c r="BD976" s="526"/>
      <c r="BE976" s="526"/>
      <c r="BF976" s="526"/>
      <c r="BG976" s="526"/>
    </row>
    <row r="977" spans="1:59" s="830" customFormat="1" ht="17.25" customHeight="1" x14ac:dyDescent="0.25">
      <c r="A977" s="865"/>
      <c r="B977" s="865"/>
      <c r="C977" s="908"/>
      <c r="G977" s="865"/>
      <c r="H977" s="874"/>
      <c r="I977" s="869"/>
      <c r="J977" s="869"/>
      <c r="K977" s="869"/>
      <c r="L977" s="869"/>
      <c r="M977" s="874"/>
      <c r="O977" s="874"/>
      <c r="P977" s="874"/>
      <c r="Q977" s="874"/>
      <c r="R977" s="874"/>
      <c r="S977" s="874"/>
      <c r="T977" s="874"/>
      <c r="W977" s="874"/>
      <c r="X977" s="874"/>
      <c r="Y977" s="874"/>
      <c r="Z977" s="874"/>
      <c r="AA977" s="874"/>
      <c r="AD977" s="526"/>
      <c r="AE977" s="526"/>
      <c r="AF977" s="526"/>
      <c r="AG977" s="526"/>
      <c r="AH977" s="526"/>
      <c r="AI977" s="526"/>
      <c r="AJ977" s="526"/>
      <c r="AK977" s="526"/>
      <c r="AL977" s="526"/>
      <c r="AM977" s="526"/>
      <c r="AN977" s="526"/>
      <c r="AO977" s="526"/>
      <c r="AP977" s="526"/>
      <c r="AQ977" s="526"/>
      <c r="AR977" s="526"/>
      <c r="AS977" s="526"/>
      <c r="AT977" s="526"/>
      <c r="AU977" s="526"/>
      <c r="AV977" s="526"/>
      <c r="AW977" s="526"/>
      <c r="AX977" s="526"/>
      <c r="AY977" s="526"/>
      <c r="AZ977" s="526"/>
      <c r="BA977" s="526"/>
      <c r="BB977" s="526"/>
      <c r="BC977" s="526"/>
      <c r="BD977" s="526"/>
      <c r="BE977" s="526"/>
      <c r="BF977" s="526"/>
      <c r="BG977" s="526"/>
    </row>
    <row r="978" spans="1:59" s="830" customFormat="1" ht="17.25" customHeight="1" x14ac:dyDescent="0.25">
      <c r="A978" s="865"/>
      <c r="B978" s="865"/>
      <c r="C978" s="908"/>
      <c r="G978" s="865"/>
      <c r="H978" s="874"/>
      <c r="I978" s="869"/>
      <c r="J978" s="869"/>
      <c r="K978" s="869"/>
      <c r="L978" s="869"/>
      <c r="M978" s="874"/>
      <c r="O978" s="874"/>
      <c r="P978" s="874"/>
      <c r="Q978" s="874"/>
      <c r="R978" s="874"/>
      <c r="S978" s="874"/>
      <c r="T978" s="874"/>
      <c r="W978" s="874"/>
      <c r="X978" s="874"/>
      <c r="Y978" s="874"/>
      <c r="Z978" s="874"/>
      <c r="AA978" s="874"/>
      <c r="AD978" s="526"/>
      <c r="AE978" s="526"/>
      <c r="AF978" s="526"/>
      <c r="AG978" s="526"/>
      <c r="AH978" s="526"/>
      <c r="AI978" s="526"/>
      <c r="AJ978" s="526"/>
      <c r="AK978" s="526"/>
      <c r="AL978" s="526"/>
      <c r="AM978" s="526"/>
      <c r="AN978" s="526"/>
      <c r="AO978" s="526"/>
      <c r="AP978" s="526"/>
      <c r="AQ978" s="526"/>
      <c r="AR978" s="526"/>
      <c r="AS978" s="526"/>
      <c r="AT978" s="526"/>
      <c r="AU978" s="526"/>
      <c r="AV978" s="526"/>
      <c r="AW978" s="526"/>
      <c r="AX978" s="526"/>
      <c r="AY978" s="526"/>
      <c r="AZ978" s="526"/>
      <c r="BA978" s="526"/>
      <c r="BB978" s="526"/>
      <c r="BC978" s="526"/>
      <c r="BD978" s="526"/>
      <c r="BE978" s="526"/>
      <c r="BF978" s="526"/>
      <c r="BG978" s="526"/>
    </row>
    <row r="979" spans="1:59" s="830" customFormat="1" ht="17.25" customHeight="1" x14ac:dyDescent="0.25">
      <c r="A979" s="865"/>
      <c r="B979" s="865"/>
      <c r="C979" s="908"/>
      <c r="G979" s="865"/>
      <c r="H979" s="874"/>
      <c r="I979" s="869"/>
      <c r="J979" s="869"/>
      <c r="K979" s="869"/>
      <c r="L979" s="869"/>
      <c r="M979" s="874"/>
      <c r="O979" s="874"/>
      <c r="P979" s="874"/>
      <c r="Q979" s="874"/>
      <c r="R979" s="874"/>
      <c r="S979" s="874"/>
      <c r="T979" s="874"/>
      <c r="W979" s="874"/>
      <c r="X979" s="874"/>
      <c r="Y979" s="874"/>
      <c r="Z979" s="874"/>
      <c r="AA979" s="874"/>
      <c r="AD979" s="526"/>
      <c r="AE979" s="526"/>
      <c r="AF979" s="526"/>
      <c r="AG979" s="526"/>
      <c r="AH979" s="526"/>
      <c r="AI979" s="526"/>
      <c r="AJ979" s="526"/>
      <c r="AK979" s="526"/>
      <c r="AL979" s="526"/>
      <c r="AM979" s="526"/>
      <c r="AN979" s="526"/>
      <c r="AO979" s="526"/>
      <c r="AP979" s="526"/>
      <c r="AQ979" s="526"/>
      <c r="AR979" s="526"/>
      <c r="AS979" s="526"/>
      <c r="AT979" s="526"/>
      <c r="AU979" s="526"/>
      <c r="AV979" s="526"/>
      <c r="AW979" s="526"/>
      <c r="AX979" s="526"/>
      <c r="AY979" s="526"/>
      <c r="AZ979" s="526"/>
      <c r="BA979" s="526"/>
      <c r="BB979" s="526"/>
      <c r="BC979" s="526"/>
      <c r="BD979" s="526"/>
      <c r="BE979" s="526"/>
      <c r="BF979" s="526"/>
      <c r="BG979" s="526"/>
    </row>
    <row r="980" spans="1:59" s="830" customFormat="1" ht="17.25" customHeight="1" x14ac:dyDescent="0.25">
      <c r="A980" s="865"/>
      <c r="B980" s="865"/>
      <c r="C980" s="908"/>
      <c r="G980" s="865"/>
      <c r="H980" s="874"/>
      <c r="I980" s="869"/>
      <c r="J980" s="869"/>
      <c r="K980" s="869"/>
      <c r="L980" s="869"/>
      <c r="M980" s="874"/>
      <c r="O980" s="874"/>
      <c r="P980" s="874"/>
      <c r="Q980" s="874"/>
      <c r="R980" s="874"/>
      <c r="S980" s="874"/>
      <c r="T980" s="874"/>
      <c r="W980" s="874"/>
      <c r="X980" s="874"/>
      <c r="Y980" s="874"/>
      <c r="Z980" s="874"/>
      <c r="AA980" s="874"/>
      <c r="AD980" s="526"/>
      <c r="AE980" s="526"/>
      <c r="AF980" s="526"/>
      <c r="AG980" s="526"/>
      <c r="AH980" s="526"/>
      <c r="AI980" s="526"/>
      <c r="AJ980" s="526"/>
      <c r="AK980" s="526"/>
      <c r="AL980" s="526"/>
      <c r="AM980" s="526"/>
      <c r="AN980" s="526"/>
      <c r="AO980" s="526"/>
      <c r="AP980" s="526"/>
      <c r="AQ980" s="526"/>
      <c r="AR980" s="526"/>
      <c r="AS980" s="526"/>
      <c r="AT980" s="526"/>
      <c r="AU980" s="526"/>
      <c r="AV980" s="526"/>
      <c r="AW980" s="526"/>
      <c r="AX980" s="526"/>
      <c r="AY980" s="526"/>
      <c r="AZ980" s="526"/>
      <c r="BA980" s="526"/>
      <c r="BB980" s="526"/>
      <c r="BC980" s="526"/>
      <c r="BD980" s="526"/>
      <c r="BE980" s="526"/>
      <c r="BF980" s="526"/>
      <c r="BG980" s="526"/>
    </row>
    <row r="981" spans="1:59" s="830" customFormat="1" ht="17.25" customHeight="1" x14ac:dyDescent="0.25">
      <c r="A981" s="865"/>
      <c r="B981" s="865"/>
      <c r="C981" s="908"/>
      <c r="G981" s="865"/>
      <c r="H981" s="874"/>
      <c r="I981" s="869"/>
      <c r="J981" s="869"/>
      <c r="K981" s="869"/>
      <c r="L981" s="869"/>
      <c r="M981" s="874"/>
      <c r="O981" s="874"/>
      <c r="P981" s="874"/>
      <c r="Q981" s="874"/>
      <c r="R981" s="874"/>
      <c r="S981" s="874"/>
      <c r="T981" s="874"/>
      <c r="W981" s="874"/>
      <c r="X981" s="874"/>
      <c r="Y981" s="874"/>
      <c r="Z981" s="874"/>
      <c r="AA981" s="874"/>
      <c r="AD981" s="526"/>
      <c r="AE981" s="526"/>
      <c r="AF981" s="526"/>
      <c r="AG981" s="526"/>
      <c r="AH981" s="526"/>
      <c r="AI981" s="526"/>
      <c r="AJ981" s="526"/>
      <c r="AK981" s="526"/>
      <c r="AL981" s="526"/>
      <c r="AM981" s="526"/>
      <c r="AN981" s="526"/>
      <c r="AO981" s="526"/>
      <c r="AP981" s="526"/>
      <c r="AQ981" s="526"/>
      <c r="AR981" s="526"/>
      <c r="AS981" s="526"/>
      <c r="AT981" s="526"/>
      <c r="AU981" s="526"/>
      <c r="AV981" s="526"/>
      <c r="AW981" s="526"/>
      <c r="AX981" s="526"/>
      <c r="AY981" s="526"/>
      <c r="AZ981" s="526"/>
      <c r="BA981" s="526"/>
      <c r="BB981" s="526"/>
      <c r="BC981" s="526"/>
      <c r="BD981" s="526"/>
      <c r="BE981" s="526"/>
      <c r="BF981" s="526"/>
      <c r="BG981" s="526"/>
    </row>
    <row r="982" spans="1:59" s="830" customFormat="1" ht="17.25" customHeight="1" x14ac:dyDescent="0.25">
      <c r="A982" s="865"/>
      <c r="B982" s="865"/>
      <c r="C982" s="908"/>
      <c r="G982" s="865"/>
      <c r="H982" s="874"/>
      <c r="I982" s="869"/>
      <c r="J982" s="869"/>
      <c r="K982" s="869"/>
      <c r="L982" s="869"/>
      <c r="M982" s="874"/>
      <c r="O982" s="874"/>
      <c r="P982" s="874"/>
      <c r="Q982" s="874"/>
      <c r="R982" s="874"/>
      <c r="S982" s="874"/>
      <c r="T982" s="874"/>
      <c r="W982" s="874"/>
      <c r="X982" s="874"/>
      <c r="Y982" s="874"/>
      <c r="Z982" s="874"/>
      <c r="AA982" s="874"/>
      <c r="AD982" s="526"/>
      <c r="AE982" s="526"/>
      <c r="AF982" s="526"/>
      <c r="AG982" s="526"/>
      <c r="AH982" s="526"/>
      <c r="AI982" s="526"/>
      <c r="AJ982" s="526"/>
      <c r="AK982" s="526"/>
      <c r="AL982" s="526"/>
      <c r="AM982" s="526"/>
      <c r="AN982" s="526"/>
      <c r="AO982" s="526"/>
      <c r="AP982" s="526"/>
      <c r="AQ982" s="526"/>
      <c r="AR982" s="526"/>
      <c r="AS982" s="526"/>
      <c r="AT982" s="526"/>
      <c r="AU982" s="526"/>
      <c r="AV982" s="526"/>
      <c r="AW982" s="526"/>
      <c r="AX982" s="526"/>
      <c r="AY982" s="526"/>
      <c r="AZ982" s="526"/>
      <c r="BA982" s="526"/>
      <c r="BB982" s="526"/>
      <c r="BC982" s="526"/>
      <c r="BD982" s="526"/>
      <c r="BE982" s="526"/>
      <c r="BF982" s="526"/>
      <c r="BG982" s="526"/>
    </row>
    <row r="983" spans="1:59" s="830" customFormat="1" ht="17.25" customHeight="1" x14ac:dyDescent="0.25">
      <c r="A983" s="865"/>
      <c r="B983" s="865"/>
      <c r="C983" s="908"/>
      <c r="G983" s="865"/>
      <c r="H983" s="874"/>
      <c r="I983" s="869"/>
      <c r="J983" s="869"/>
      <c r="K983" s="869"/>
      <c r="L983" s="869"/>
      <c r="M983" s="874"/>
      <c r="O983" s="874"/>
      <c r="P983" s="874"/>
      <c r="Q983" s="874"/>
      <c r="R983" s="874"/>
      <c r="S983" s="874"/>
      <c r="T983" s="874"/>
      <c r="W983" s="874"/>
      <c r="X983" s="874"/>
      <c r="Y983" s="874"/>
      <c r="Z983" s="874"/>
      <c r="AA983" s="874"/>
      <c r="AD983" s="526"/>
      <c r="AE983" s="526"/>
      <c r="AF983" s="526"/>
      <c r="AG983" s="526"/>
      <c r="AH983" s="526"/>
      <c r="AI983" s="526"/>
      <c r="AJ983" s="526"/>
      <c r="AK983" s="526"/>
      <c r="AL983" s="526"/>
      <c r="AM983" s="526"/>
      <c r="AN983" s="526"/>
      <c r="AO983" s="526"/>
      <c r="AP983" s="526"/>
      <c r="AQ983" s="526"/>
      <c r="AR983" s="526"/>
      <c r="AS983" s="526"/>
      <c r="AT983" s="526"/>
      <c r="AU983" s="526"/>
      <c r="AV983" s="526"/>
      <c r="AW983" s="526"/>
      <c r="AX983" s="526"/>
      <c r="AY983" s="526"/>
      <c r="AZ983" s="526"/>
      <c r="BA983" s="526"/>
      <c r="BB983" s="526"/>
      <c r="BC983" s="526"/>
      <c r="BD983" s="526"/>
      <c r="BE983" s="526"/>
      <c r="BF983" s="526"/>
      <c r="BG983" s="526"/>
    </row>
    <row r="984" spans="1:59" s="830" customFormat="1" ht="17.25" customHeight="1" x14ac:dyDescent="0.25">
      <c r="A984" s="865"/>
      <c r="B984" s="865"/>
      <c r="C984" s="908"/>
      <c r="G984" s="865"/>
      <c r="H984" s="874"/>
      <c r="I984" s="869"/>
      <c r="J984" s="869"/>
      <c r="K984" s="869"/>
      <c r="L984" s="869"/>
      <c r="M984" s="874"/>
      <c r="O984" s="874"/>
      <c r="P984" s="874"/>
      <c r="Q984" s="874"/>
      <c r="R984" s="874"/>
      <c r="S984" s="874"/>
      <c r="T984" s="874"/>
      <c r="W984" s="874"/>
      <c r="X984" s="874"/>
      <c r="Y984" s="874"/>
      <c r="Z984" s="874"/>
      <c r="AA984" s="874"/>
      <c r="AD984" s="526"/>
      <c r="AE984" s="526"/>
      <c r="AF984" s="526"/>
      <c r="AG984" s="526"/>
      <c r="AH984" s="526"/>
      <c r="AI984" s="526"/>
      <c r="AJ984" s="526"/>
      <c r="AK984" s="526"/>
      <c r="AL984" s="526"/>
      <c r="AM984" s="526"/>
      <c r="AN984" s="526"/>
      <c r="AO984" s="526"/>
      <c r="AP984" s="526"/>
      <c r="AQ984" s="526"/>
      <c r="AR984" s="526"/>
      <c r="AS984" s="526"/>
      <c r="AT984" s="526"/>
      <c r="AU984" s="526"/>
      <c r="AV984" s="526"/>
      <c r="AW984" s="526"/>
      <c r="AX984" s="526"/>
      <c r="AY984" s="526"/>
      <c r="AZ984" s="526"/>
      <c r="BA984" s="526"/>
      <c r="BB984" s="526"/>
      <c r="BC984" s="526"/>
      <c r="BD984" s="526"/>
      <c r="BE984" s="526"/>
      <c r="BF984" s="526"/>
      <c r="BG984" s="526"/>
    </row>
    <row r="985" spans="1:59" s="830" customFormat="1" ht="17.25" customHeight="1" x14ac:dyDescent="0.25">
      <c r="A985" s="865"/>
      <c r="B985" s="865"/>
      <c r="C985" s="908"/>
      <c r="G985" s="865"/>
      <c r="H985" s="874"/>
      <c r="I985" s="869"/>
      <c r="J985" s="869"/>
      <c r="K985" s="869"/>
      <c r="L985" s="869"/>
      <c r="M985" s="874"/>
      <c r="O985" s="874"/>
      <c r="P985" s="874"/>
      <c r="Q985" s="874"/>
      <c r="R985" s="874"/>
      <c r="S985" s="874"/>
      <c r="T985" s="874"/>
      <c r="W985" s="874"/>
      <c r="X985" s="874"/>
      <c r="Y985" s="874"/>
      <c r="Z985" s="874"/>
      <c r="AA985" s="874"/>
      <c r="AD985" s="526"/>
      <c r="AE985" s="526"/>
      <c r="AF985" s="526"/>
      <c r="AG985" s="526"/>
      <c r="AH985" s="526"/>
      <c r="AI985" s="526"/>
      <c r="AJ985" s="526"/>
      <c r="AK985" s="526"/>
      <c r="AL985" s="526"/>
      <c r="AM985" s="526"/>
      <c r="AN985" s="526"/>
      <c r="AO985" s="526"/>
      <c r="AP985" s="526"/>
      <c r="AQ985" s="526"/>
      <c r="AR985" s="526"/>
      <c r="AS985" s="526"/>
      <c r="AT985" s="526"/>
      <c r="AU985" s="526"/>
      <c r="AV985" s="526"/>
      <c r="AW985" s="526"/>
      <c r="AX985" s="526"/>
      <c r="AY985" s="526"/>
      <c r="AZ985" s="526"/>
      <c r="BA985" s="526"/>
      <c r="BB985" s="526"/>
      <c r="BC985" s="526"/>
      <c r="BD985" s="526"/>
      <c r="BE985" s="526"/>
      <c r="BF985" s="526"/>
      <c r="BG985" s="526"/>
    </row>
    <row r="986" spans="1:59" s="830" customFormat="1" ht="17.25" customHeight="1" x14ac:dyDescent="0.25">
      <c r="A986" s="865"/>
      <c r="B986" s="865"/>
      <c r="C986" s="908"/>
      <c r="G986" s="865"/>
      <c r="H986" s="874"/>
      <c r="I986" s="869"/>
      <c r="J986" s="869"/>
      <c r="K986" s="869"/>
      <c r="L986" s="869"/>
      <c r="M986" s="874"/>
      <c r="O986" s="874"/>
      <c r="P986" s="874"/>
      <c r="Q986" s="874"/>
      <c r="R986" s="874"/>
      <c r="S986" s="874"/>
      <c r="T986" s="874"/>
      <c r="W986" s="874"/>
      <c r="X986" s="874"/>
      <c r="Y986" s="874"/>
      <c r="Z986" s="874"/>
      <c r="AA986" s="874"/>
      <c r="AD986" s="526"/>
      <c r="AE986" s="526"/>
      <c r="AF986" s="526"/>
      <c r="AG986" s="526"/>
      <c r="AH986" s="526"/>
      <c r="AI986" s="526"/>
      <c r="AJ986" s="526"/>
      <c r="AK986" s="526"/>
      <c r="AL986" s="526"/>
      <c r="AM986" s="526"/>
      <c r="AN986" s="526"/>
      <c r="AO986" s="526"/>
      <c r="AP986" s="526"/>
      <c r="AQ986" s="526"/>
      <c r="AR986" s="526"/>
      <c r="AS986" s="526"/>
      <c r="AT986" s="526"/>
      <c r="AU986" s="526"/>
      <c r="AV986" s="526"/>
      <c r="AW986" s="526"/>
      <c r="AX986" s="526"/>
      <c r="AY986" s="526"/>
      <c r="AZ986" s="526"/>
      <c r="BA986" s="526"/>
      <c r="BB986" s="526"/>
      <c r="BC986" s="526"/>
      <c r="BD986" s="526"/>
      <c r="BE986" s="526"/>
      <c r="BF986" s="526"/>
      <c r="BG986" s="526"/>
    </row>
    <row r="987" spans="1:59" s="830" customFormat="1" ht="17.25" customHeight="1" x14ac:dyDescent="0.25">
      <c r="A987" s="865"/>
      <c r="B987" s="865"/>
      <c r="C987" s="908"/>
      <c r="G987" s="865"/>
      <c r="H987" s="874"/>
      <c r="I987" s="869"/>
      <c r="J987" s="869"/>
      <c r="K987" s="869"/>
      <c r="L987" s="869"/>
      <c r="M987" s="874"/>
      <c r="O987" s="874"/>
      <c r="P987" s="874"/>
      <c r="Q987" s="874"/>
      <c r="R987" s="874"/>
      <c r="S987" s="874"/>
      <c r="T987" s="874"/>
      <c r="W987" s="874"/>
      <c r="X987" s="874"/>
      <c r="Y987" s="874"/>
      <c r="Z987" s="874"/>
      <c r="AA987" s="874"/>
      <c r="AD987" s="526"/>
      <c r="AE987" s="526"/>
      <c r="AF987" s="526"/>
      <c r="AG987" s="526"/>
      <c r="AH987" s="526"/>
      <c r="AI987" s="526"/>
      <c r="AJ987" s="526"/>
      <c r="AK987" s="526"/>
      <c r="AL987" s="526"/>
      <c r="AM987" s="526"/>
      <c r="AN987" s="526"/>
      <c r="AO987" s="526"/>
      <c r="AP987" s="526"/>
      <c r="AQ987" s="526"/>
      <c r="AR987" s="526"/>
      <c r="AS987" s="526"/>
      <c r="AT987" s="526"/>
      <c r="AU987" s="526"/>
      <c r="AV987" s="526"/>
      <c r="AW987" s="526"/>
      <c r="AX987" s="526"/>
      <c r="AY987" s="526"/>
      <c r="AZ987" s="526"/>
      <c r="BA987" s="526"/>
      <c r="BB987" s="526"/>
      <c r="BC987" s="526"/>
      <c r="BD987" s="526"/>
      <c r="BE987" s="526"/>
      <c r="BF987" s="526"/>
      <c r="BG987" s="526"/>
    </row>
    <row r="988" spans="1:59" s="830" customFormat="1" ht="17.25" customHeight="1" x14ac:dyDescent="0.25">
      <c r="A988" s="865"/>
      <c r="B988" s="865"/>
      <c r="C988" s="908"/>
      <c r="G988" s="865"/>
      <c r="H988" s="874"/>
      <c r="I988" s="869"/>
      <c r="J988" s="869"/>
      <c r="K988" s="869"/>
      <c r="L988" s="869"/>
      <c r="M988" s="874"/>
      <c r="O988" s="874"/>
      <c r="P988" s="874"/>
      <c r="Q988" s="874"/>
      <c r="R988" s="874"/>
      <c r="S988" s="874"/>
      <c r="T988" s="874"/>
      <c r="W988" s="874"/>
      <c r="X988" s="874"/>
      <c r="Y988" s="874"/>
      <c r="Z988" s="874"/>
      <c r="AA988" s="874"/>
      <c r="AD988" s="526"/>
      <c r="AE988" s="526"/>
      <c r="AF988" s="526"/>
      <c r="AG988" s="526"/>
      <c r="AH988" s="526"/>
      <c r="AI988" s="526"/>
      <c r="AJ988" s="526"/>
      <c r="AK988" s="526"/>
      <c r="AL988" s="526"/>
      <c r="AM988" s="526"/>
      <c r="AN988" s="526"/>
      <c r="AO988" s="526"/>
      <c r="AP988" s="526"/>
      <c r="AQ988" s="526"/>
      <c r="AR988" s="526"/>
      <c r="AS988" s="526"/>
      <c r="AT988" s="526"/>
      <c r="AU988" s="526"/>
      <c r="AV988" s="526"/>
      <c r="AW988" s="526"/>
      <c r="AX988" s="526"/>
      <c r="AY988" s="526"/>
      <c r="AZ988" s="526"/>
      <c r="BA988" s="526"/>
      <c r="BB988" s="526"/>
      <c r="BC988" s="526"/>
      <c r="BD988" s="526"/>
      <c r="BE988" s="526"/>
      <c r="BF988" s="526"/>
      <c r="BG988" s="526"/>
    </row>
    <row r="989" spans="1:59" s="830" customFormat="1" ht="17.25" customHeight="1" x14ac:dyDescent="0.25">
      <c r="A989" s="865"/>
      <c r="B989" s="865"/>
      <c r="C989" s="908"/>
      <c r="G989" s="865"/>
      <c r="H989" s="874"/>
      <c r="I989" s="869"/>
      <c r="J989" s="869"/>
      <c r="K989" s="869"/>
      <c r="L989" s="869"/>
      <c r="M989" s="874"/>
      <c r="O989" s="874"/>
      <c r="P989" s="874"/>
      <c r="Q989" s="874"/>
      <c r="R989" s="874"/>
      <c r="S989" s="874"/>
      <c r="T989" s="874"/>
      <c r="W989" s="874"/>
      <c r="X989" s="874"/>
      <c r="Y989" s="874"/>
      <c r="Z989" s="874"/>
      <c r="AA989" s="874"/>
      <c r="AD989" s="526"/>
      <c r="AE989" s="526"/>
      <c r="AF989" s="526"/>
      <c r="AG989" s="526"/>
      <c r="AH989" s="526"/>
      <c r="AI989" s="526"/>
      <c r="AJ989" s="526"/>
      <c r="AK989" s="526"/>
      <c r="AL989" s="526"/>
      <c r="AM989" s="526"/>
      <c r="AN989" s="526"/>
      <c r="AO989" s="526"/>
      <c r="AP989" s="526"/>
      <c r="AQ989" s="526"/>
      <c r="AR989" s="526"/>
      <c r="AS989" s="526"/>
      <c r="AT989" s="526"/>
      <c r="AU989" s="526"/>
      <c r="AV989" s="526"/>
      <c r="AW989" s="526"/>
      <c r="AX989" s="526"/>
      <c r="AY989" s="526"/>
      <c r="AZ989" s="526"/>
      <c r="BA989" s="526"/>
      <c r="BB989" s="526"/>
      <c r="BC989" s="526"/>
      <c r="BD989" s="526"/>
      <c r="BE989" s="526"/>
      <c r="BF989" s="526"/>
      <c r="BG989" s="526"/>
    </row>
    <row r="990" spans="1:59" s="830" customFormat="1" ht="17.25" customHeight="1" x14ac:dyDescent="0.25">
      <c r="A990" s="865"/>
      <c r="B990" s="865"/>
      <c r="C990" s="908"/>
      <c r="G990" s="865"/>
      <c r="H990" s="874"/>
      <c r="I990" s="869"/>
      <c r="J990" s="869"/>
      <c r="K990" s="869"/>
      <c r="L990" s="869"/>
      <c r="M990" s="874"/>
      <c r="O990" s="874"/>
      <c r="P990" s="874"/>
      <c r="Q990" s="874"/>
      <c r="R990" s="874"/>
      <c r="S990" s="874"/>
      <c r="T990" s="874"/>
      <c r="W990" s="874"/>
      <c r="X990" s="874"/>
      <c r="Y990" s="874"/>
      <c r="Z990" s="874"/>
      <c r="AA990" s="874"/>
      <c r="AD990" s="526"/>
      <c r="AE990" s="526"/>
      <c r="AF990" s="526"/>
      <c r="AG990" s="526"/>
      <c r="AH990" s="526"/>
      <c r="AI990" s="526"/>
      <c r="AJ990" s="526"/>
      <c r="AK990" s="526"/>
      <c r="AL990" s="526"/>
      <c r="AM990" s="526"/>
      <c r="AN990" s="526"/>
      <c r="AO990" s="526"/>
      <c r="AP990" s="526"/>
      <c r="AQ990" s="526"/>
      <c r="AR990" s="526"/>
      <c r="AS990" s="526"/>
      <c r="AT990" s="526"/>
      <c r="AU990" s="526"/>
      <c r="AV990" s="526"/>
      <c r="AW990" s="526"/>
      <c r="AX990" s="526"/>
      <c r="AY990" s="526"/>
      <c r="AZ990" s="526"/>
      <c r="BA990" s="526"/>
      <c r="BB990" s="526"/>
      <c r="BC990" s="526"/>
      <c r="BD990" s="526"/>
      <c r="BE990" s="526"/>
      <c r="BF990" s="526"/>
      <c r="BG990" s="526"/>
    </row>
    <row r="991" spans="1:59" s="830" customFormat="1" ht="17.25" customHeight="1" x14ac:dyDescent="0.25">
      <c r="A991" s="865"/>
      <c r="B991" s="865"/>
      <c r="C991" s="908"/>
      <c r="G991" s="865"/>
      <c r="H991" s="874"/>
      <c r="I991" s="869"/>
      <c r="J991" s="869"/>
      <c r="K991" s="869"/>
      <c r="L991" s="869"/>
      <c r="M991" s="874"/>
      <c r="O991" s="874"/>
      <c r="P991" s="874"/>
      <c r="Q991" s="874"/>
      <c r="R991" s="874"/>
      <c r="S991" s="874"/>
      <c r="T991" s="874"/>
      <c r="W991" s="874"/>
      <c r="X991" s="874"/>
      <c r="Y991" s="874"/>
      <c r="Z991" s="874"/>
      <c r="AA991" s="874"/>
      <c r="AD991" s="526"/>
      <c r="AE991" s="526"/>
      <c r="AF991" s="526"/>
      <c r="AG991" s="526"/>
      <c r="AH991" s="526"/>
      <c r="AI991" s="526"/>
      <c r="AJ991" s="526"/>
      <c r="AK991" s="526"/>
      <c r="AL991" s="526"/>
      <c r="AM991" s="526"/>
      <c r="AN991" s="526"/>
      <c r="AO991" s="526"/>
      <c r="AP991" s="526"/>
      <c r="AQ991" s="526"/>
      <c r="AR991" s="526"/>
      <c r="AS991" s="526"/>
      <c r="AT991" s="526"/>
      <c r="AU991" s="526"/>
      <c r="AV991" s="526"/>
      <c r="AW991" s="526"/>
      <c r="AX991" s="526"/>
      <c r="AY991" s="526"/>
      <c r="AZ991" s="526"/>
      <c r="BA991" s="526"/>
      <c r="BB991" s="526"/>
      <c r="BC991" s="526"/>
      <c r="BD991" s="526"/>
      <c r="BE991" s="526"/>
      <c r="BF991" s="526"/>
      <c r="BG991" s="526"/>
    </row>
    <row r="992" spans="1:59" s="830" customFormat="1" ht="17.25" customHeight="1" x14ac:dyDescent="0.25">
      <c r="A992" s="865"/>
      <c r="B992" s="865"/>
      <c r="C992" s="908"/>
      <c r="G992" s="865"/>
      <c r="H992" s="874"/>
      <c r="I992" s="869"/>
      <c r="J992" s="869"/>
      <c r="K992" s="869"/>
      <c r="L992" s="869"/>
      <c r="M992" s="874"/>
      <c r="O992" s="874"/>
      <c r="P992" s="874"/>
      <c r="Q992" s="874"/>
      <c r="R992" s="874"/>
      <c r="S992" s="874"/>
      <c r="T992" s="874"/>
      <c r="W992" s="874"/>
      <c r="X992" s="874"/>
      <c r="Y992" s="874"/>
      <c r="Z992" s="874"/>
      <c r="AA992" s="874"/>
      <c r="AD992" s="526"/>
      <c r="AE992" s="526"/>
      <c r="AF992" s="526"/>
      <c r="AG992" s="526"/>
      <c r="AH992" s="526"/>
      <c r="AI992" s="526"/>
      <c r="AJ992" s="526"/>
      <c r="AK992" s="526"/>
      <c r="AL992" s="526"/>
      <c r="AM992" s="526"/>
      <c r="AN992" s="526"/>
      <c r="AO992" s="526"/>
      <c r="AP992" s="526"/>
      <c r="AQ992" s="526"/>
      <c r="AR992" s="526"/>
      <c r="AS992" s="526"/>
      <c r="AT992" s="526"/>
      <c r="AU992" s="526"/>
      <c r="AV992" s="526"/>
      <c r="AW992" s="526"/>
      <c r="AX992" s="526"/>
      <c r="AY992" s="526"/>
      <c r="AZ992" s="526"/>
      <c r="BA992" s="526"/>
      <c r="BB992" s="526"/>
      <c r="BC992" s="526"/>
      <c r="BD992" s="526"/>
      <c r="BE992" s="526"/>
      <c r="BF992" s="526"/>
      <c r="BG992" s="526"/>
    </row>
    <row r="993" spans="1:59" s="830" customFormat="1" ht="17.25" customHeight="1" x14ac:dyDescent="0.25">
      <c r="A993" s="865"/>
      <c r="B993" s="865"/>
      <c r="C993" s="908"/>
      <c r="G993" s="865"/>
      <c r="H993" s="874"/>
      <c r="I993" s="869"/>
      <c r="J993" s="869"/>
      <c r="K993" s="869"/>
      <c r="L993" s="869"/>
      <c r="M993" s="874"/>
      <c r="O993" s="874"/>
      <c r="P993" s="874"/>
      <c r="Q993" s="874"/>
      <c r="R993" s="874"/>
      <c r="S993" s="874"/>
      <c r="T993" s="874"/>
      <c r="W993" s="874"/>
      <c r="X993" s="874"/>
      <c r="Y993" s="874"/>
      <c r="Z993" s="874"/>
      <c r="AA993" s="874"/>
      <c r="AD993" s="526"/>
      <c r="AE993" s="526"/>
      <c r="AF993" s="526"/>
      <c r="AG993" s="526"/>
      <c r="AH993" s="526"/>
      <c r="AI993" s="526"/>
      <c r="AJ993" s="526"/>
      <c r="AK993" s="526"/>
      <c r="AL993" s="526"/>
      <c r="AM993" s="526"/>
      <c r="AN993" s="526"/>
      <c r="AO993" s="526"/>
      <c r="AP993" s="526"/>
      <c r="AQ993" s="526"/>
      <c r="AR993" s="526"/>
      <c r="AS993" s="526"/>
      <c r="AT993" s="526"/>
      <c r="AU993" s="526"/>
      <c r="AV993" s="526"/>
      <c r="AW993" s="526"/>
      <c r="AX993" s="526"/>
      <c r="AY993" s="526"/>
      <c r="AZ993" s="526"/>
      <c r="BA993" s="526"/>
      <c r="BB993" s="526"/>
      <c r="BC993" s="526"/>
      <c r="BD993" s="526"/>
      <c r="BE993" s="526"/>
      <c r="BF993" s="526"/>
      <c r="BG993" s="526"/>
    </row>
    <row r="994" spans="1:59" s="830" customFormat="1" ht="17.25" customHeight="1" x14ac:dyDescent="0.25">
      <c r="A994" s="865"/>
      <c r="B994" s="865"/>
      <c r="C994" s="908"/>
      <c r="G994" s="865"/>
      <c r="H994" s="874"/>
      <c r="I994" s="869"/>
      <c r="J994" s="869"/>
      <c r="K994" s="869"/>
      <c r="L994" s="869"/>
      <c r="M994" s="874"/>
      <c r="O994" s="874"/>
      <c r="P994" s="874"/>
      <c r="Q994" s="874"/>
      <c r="R994" s="874"/>
      <c r="S994" s="874"/>
      <c r="T994" s="874"/>
      <c r="W994" s="874"/>
      <c r="X994" s="874"/>
      <c r="Y994" s="874"/>
      <c r="Z994" s="874"/>
      <c r="AA994" s="874"/>
      <c r="AD994" s="526"/>
      <c r="AE994" s="526"/>
      <c r="AF994" s="526"/>
      <c r="AG994" s="526"/>
      <c r="AH994" s="526"/>
      <c r="AI994" s="526"/>
      <c r="AJ994" s="526"/>
      <c r="AK994" s="526"/>
      <c r="AL994" s="526"/>
      <c r="AM994" s="526"/>
      <c r="AN994" s="526"/>
      <c r="AO994" s="526"/>
      <c r="AP994" s="526"/>
      <c r="AQ994" s="526"/>
      <c r="AR994" s="526"/>
      <c r="AS994" s="526"/>
      <c r="AT994" s="526"/>
      <c r="AU994" s="526"/>
      <c r="AV994" s="526"/>
      <c r="AW994" s="526"/>
      <c r="AX994" s="526"/>
      <c r="AY994" s="526"/>
      <c r="AZ994" s="526"/>
      <c r="BA994" s="526"/>
      <c r="BB994" s="526"/>
      <c r="BC994" s="526"/>
      <c r="BD994" s="526"/>
      <c r="BE994" s="526"/>
      <c r="BF994" s="526"/>
      <c r="BG994" s="526"/>
    </row>
    <row r="995" spans="1:59" s="830" customFormat="1" ht="17.25" customHeight="1" x14ac:dyDescent="0.25">
      <c r="A995" s="865"/>
      <c r="B995" s="865"/>
      <c r="C995" s="908"/>
      <c r="G995" s="865"/>
      <c r="H995" s="874"/>
      <c r="I995" s="869"/>
      <c r="J995" s="869"/>
      <c r="K995" s="869"/>
      <c r="L995" s="869"/>
      <c r="M995" s="874"/>
      <c r="O995" s="874"/>
      <c r="P995" s="874"/>
      <c r="Q995" s="874"/>
      <c r="R995" s="874"/>
      <c r="S995" s="874"/>
      <c r="T995" s="874"/>
      <c r="W995" s="874"/>
      <c r="X995" s="874"/>
      <c r="Y995" s="874"/>
      <c r="Z995" s="874"/>
      <c r="AA995" s="874"/>
      <c r="AD995" s="526"/>
      <c r="AE995" s="526"/>
      <c r="AF995" s="526"/>
      <c r="AG995" s="526"/>
      <c r="AH995" s="526"/>
      <c r="AI995" s="526"/>
      <c r="AJ995" s="526"/>
      <c r="AK995" s="526"/>
      <c r="AL995" s="526"/>
      <c r="AM995" s="526"/>
      <c r="AN995" s="526"/>
      <c r="AO995" s="526"/>
      <c r="AP995" s="526"/>
      <c r="AQ995" s="526"/>
      <c r="AR995" s="526"/>
      <c r="AS995" s="526"/>
      <c r="AT995" s="526"/>
      <c r="AU995" s="526"/>
      <c r="AV995" s="526"/>
      <c r="AW995" s="526"/>
      <c r="AX995" s="526"/>
      <c r="AY995" s="526"/>
      <c r="AZ995" s="526"/>
      <c r="BA995" s="526"/>
      <c r="BB995" s="526"/>
      <c r="BC995" s="526"/>
      <c r="BD995" s="526"/>
      <c r="BE995" s="526"/>
      <c r="BF995" s="526"/>
      <c r="BG995" s="526"/>
    </row>
    <row r="996" spans="1:59" s="830" customFormat="1" ht="17.25" customHeight="1" x14ac:dyDescent="0.25">
      <c r="A996" s="865"/>
      <c r="B996" s="865"/>
      <c r="C996" s="908"/>
      <c r="G996" s="865"/>
      <c r="H996" s="874"/>
      <c r="I996" s="869"/>
      <c r="J996" s="869"/>
      <c r="K996" s="869"/>
      <c r="L996" s="869"/>
      <c r="M996" s="874"/>
      <c r="O996" s="874"/>
      <c r="P996" s="874"/>
      <c r="Q996" s="874"/>
      <c r="R996" s="874"/>
      <c r="S996" s="874"/>
      <c r="T996" s="874"/>
      <c r="W996" s="874"/>
      <c r="X996" s="874"/>
      <c r="Y996" s="874"/>
      <c r="Z996" s="874"/>
      <c r="AA996" s="874"/>
      <c r="AD996" s="526"/>
      <c r="AE996" s="526"/>
      <c r="AF996" s="526"/>
      <c r="AG996" s="526"/>
      <c r="AH996" s="526"/>
      <c r="AI996" s="526"/>
      <c r="AJ996" s="526"/>
      <c r="AK996" s="526"/>
      <c r="AL996" s="526"/>
      <c r="AM996" s="526"/>
      <c r="AN996" s="526"/>
      <c r="AO996" s="526"/>
      <c r="AP996" s="526"/>
      <c r="AQ996" s="526"/>
      <c r="AR996" s="526"/>
      <c r="AS996" s="526"/>
      <c r="AT996" s="526"/>
      <c r="AU996" s="526"/>
      <c r="AV996" s="526"/>
      <c r="AW996" s="526"/>
      <c r="AX996" s="526"/>
      <c r="AY996" s="526"/>
      <c r="AZ996" s="526"/>
      <c r="BA996" s="526"/>
      <c r="BB996" s="526"/>
      <c r="BC996" s="526"/>
      <c r="BD996" s="526"/>
      <c r="BE996" s="526"/>
      <c r="BF996" s="526"/>
      <c r="BG996" s="526"/>
    </row>
    <row r="997" spans="1:59" s="830" customFormat="1" ht="17.25" customHeight="1" x14ac:dyDescent="0.25">
      <c r="A997" s="865"/>
      <c r="B997" s="865"/>
      <c r="C997" s="908"/>
      <c r="G997" s="865"/>
      <c r="H997" s="874"/>
      <c r="I997" s="869"/>
      <c r="J997" s="869"/>
      <c r="K997" s="869"/>
      <c r="L997" s="869"/>
      <c r="M997" s="874"/>
      <c r="O997" s="874"/>
      <c r="P997" s="874"/>
      <c r="Q997" s="874"/>
      <c r="R997" s="874"/>
      <c r="S997" s="874"/>
      <c r="T997" s="874"/>
      <c r="W997" s="874"/>
      <c r="X997" s="874"/>
      <c r="Y997" s="874"/>
      <c r="Z997" s="874"/>
      <c r="AA997" s="874"/>
      <c r="AD997" s="526"/>
      <c r="AE997" s="526"/>
      <c r="AF997" s="526"/>
      <c r="AG997" s="526"/>
      <c r="AH997" s="526"/>
      <c r="AI997" s="526"/>
      <c r="AJ997" s="526"/>
      <c r="AK997" s="526"/>
      <c r="AL997" s="526"/>
      <c r="AM997" s="526"/>
      <c r="AN997" s="526"/>
      <c r="AO997" s="526"/>
      <c r="AP997" s="526"/>
      <c r="AQ997" s="526"/>
      <c r="AR997" s="526"/>
      <c r="AS997" s="526"/>
      <c r="AT997" s="526"/>
      <c r="AU997" s="526"/>
      <c r="AV997" s="526"/>
      <c r="AW997" s="526"/>
      <c r="AX997" s="526"/>
      <c r="AY997" s="526"/>
      <c r="AZ997" s="526"/>
      <c r="BA997" s="526"/>
      <c r="BB997" s="526"/>
      <c r="BC997" s="526"/>
      <c r="BD997" s="526"/>
      <c r="BE997" s="526"/>
      <c r="BF997" s="526"/>
      <c r="BG997" s="526"/>
    </row>
    <row r="998" spans="1:59" s="830" customFormat="1" ht="17.25" customHeight="1" x14ac:dyDescent="0.25">
      <c r="A998" s="865"/>
      <c r="B998" s="865"/>
      <c r="C998" s="908"/>
      <c r="G998" s="865"/>
      <c r="H998" s="874"/>
      <c r="I998" s="869"/>
      <c r="J998" s="869"/>
      <c r="K998" s="869"/>
      <c r="L998" s="869"/>
      <c r="M998" s="874"/>
      <c r="O998" s="874"/>
      <c r="P998" s="874"/>
      <c r="Q998" s="874"/>
      <c r="R998" s="874"/>
      <c r="S998" s="874"/>
      <c r="T998" s="874"/>
      <c r="W998" s="874"/>
      <c r="X998" s="874"/>
      <c r="Y998" s="874"/>
      <c r="Z998" s="874"/>
      <c r="AA998" s="874"/>
      <c r="AD998" s="526"/>
      <c r="AE998" s="526"/>
      <c r="AF998" s="526"/>
      <c r="AG998" s="526"/>
      <c r="AH998" s="526"/>
      <c r="AI998" s="526"/>
      <c r="AJ998" s="526"/>
      <c r="AK998" s="526"/>
      <c r="AL998" s="526"/>
      <c r="AM998" s="526"/>
      <c r="AN998" s="526"/>
      <c r="AO998" s="526"/>
      <c r="AP998" s="526"/>
      <c r="AQ998" s="526"/>
      <c r="AR998" s="526"/>
      <c r="AS998" s="526"/>
      <c r="AT998" s="526"/>
      <c r="AU998" s="526"/>
      <c r="AV998" s="526"/>
      <c r="AW998" s="526"/>
      <c r="AX998" s="526"/>
      <c r="AY998" s="526"/>
      <c r="AZ998" s="526"/>
      <c r="BA998" s="526"/>
      <c r="BB998" s="526"/>
      <c r="BC998" s="526"/>
      <c r="BD998" s="526"/>
      <c r="BE998" s="526"/>
      <c r="BF998" s="526"/>
      <c r="BG998" s="526"/>
    </row>
    <row r="999" spans="1:59" s="830" customFormat="1" ht="17.25" customHeight="1" x14ac:dyDescent="0.25">
      <c r="A999" s="865"/>
      <c r="B999" s="865"/>
      <c r="C999" s="908"/>
      <c r="G999" s="865"/>
      <c r="H999" s="874"/>
      <c r="I999" s="869"/>
      <c r="J999" s="869"/>
      <c r="K999" s="869"/>
      <c r="L999" s="869"/>
      <c r="M999" s="874"/>
      <c r="O999" s="874"/>
      <c r="P999" s="874"/>
      <c r="Q999" s="874"/>
      <c r="R999" s="874"/>
      <c r="S999" s="874"/>
      <c r="T999" s="874"/>
      <c r="W999" s="874"/>
      <c r="X999" s="874"/>
      <c r="Y999" s="874"/>
      <c r="Z999" s="874"/>
      <c r="AA999" s="874"/>
      <c r="AD999" s="526"/>
      <c r="AE999" s="526"/>
      <c r="AF999" s="526"/>
      <c r="AG999" s="526"/>
      <c r="AH999" s="526"/>
      <c r="AI999" s="526"/>
      <c r="AJ999" s="526"/>
      <c r="AK999" s="526"/>
      <c r="AL999" s="526"/>
      <c r="AM999" s="526"/>
      <c r="AN999" s="526"/>
      <c r="AO999" s="526"/>
      <c r="AP999" s="526"/>
      <c r="AQ999" s="526"/>
      <c r="AR999" s="526"/>
      <c r="AS999" s="526"/>
      <c r="AT999" s="526"/>
      <c r="AU999" s="526"/>
      <c r="AV999" s="526"/>
      <c r="AW999" s="526"/>
      <c r="AX999" s="526"/>
      <c r="AY999" s="526"/>
      <c r="AZ999" s="526"/>
      <c r="BA999" s="526"/>
      <c r="BB999" s="526"/>
      <c r="BC999" s="526"/>
      <c r="BD999" s="526"/>
      <c r="BE999" s="526"/>
      <c r="BF999" s="526"/>
      <c r="BG999" s="526"/>
    </row>
    <row r="1000" spans="1:59" s="830" customFormat="1" ht="17.25" customHeight="1" x14ac:dyDescent="0.25">
      <c r="A1000" s="865"/>
      <c r="B1000" s="865"/>
      <c r="C1000" s="908"/>
      <c r="G1000" s="865"/>
      <c r="H1000" s="874"/>
      <c r="I1000" s="869"/>
      <c r="J1000" s="869"/>
      <c r="K1000" s="869"/>
      <c r="L1000" s="869"/>
      <c r="M1000" s="874"/>
      <c r="O1000" s="874"/>
      <c r="P1000" s="874"/>
      <c r="Q1000" s="874"/>
      <c r="R1000" s="874"/>
      <c r="S1000" s="874"/>
      <c r="T1000" s="874"/>
      <c r="W1000" s="874"/>
      <c r="X1000" s="874"/>
      <c r="Y1000" s="874"/>
      <c r="Z1000" s="874"/>
      <c r="AA1000" s="874"/>
      <c r="AD1000" s="526"/>
      <c r="AE1000" s="526"/>
      <c r="AF1000" s="526"/>
      <c r="AG1000" s="526"/>
      <c r="AH1000" s="526"/>
      <c r="AI1000" s="526"/>
      <c r="AJ1000" s="526"/>
      <c r="AK1000" s="526"/>
      <c r="AL1000" s="526"/>
      <c r="AM1000" s="526"/>
      <c r="AN1000" s="526"/>
      <c r="AO1000" s="526"/>
      <c r="AP1000" s="526"/>
      <c r="AQ1000" s="526"/>
      <c r="AR1000" s="526"/>
      <c r="AS1000" s="526"/>
      <c r="AT1000" s="526"/>
      <c r="AU1000" s="526"/>
      <c r="AV1000" s="526"/>
      <c r="AW1000" s="526"/>
      <c r="AX1000" s="526"/>
      <c r="AY1000" s="526"/>
      <c r="AZ1000" s="526"/>
      <c r="BA1000" s="526"/>
      <c r="BB1000" s="526"/>
      <c r="BC1000" s="526"/>
      <c r="BD1000" s="526"/>
      <c r="BE1000" s="526"/>
      <c r="BF1000" s="526"/>
      <c r="BG1000" s="526"/>
    </row>
    <row r="1001" spans="1:59" s="830" customFormat="1" ht="17.25" customHeight="1" x14ac:dyDescent="0.25">
      <c r="A1001" s="865"/>
      <c r="B1001" s="865"/>
      <c r="C1001" s="908"/>
      <c r="G1001" s="865"/>
      <c r="H1001" s="874"/>
      <c r="I1001" s="869"/>
      <c r="J1001" s="869"/>
      <c r="K1001" s="869"/>
      <c r="L1001" s="869"/>
      <c r="M1001" s="874"/>
      <c r="O1001" s="874"/>
      <c r="P1001" s="874"/>
      <c r="Q1001" s="874"/>
      <c r="R1001" s="874"/>
      <c r="S1001" s="874"/>
      <c r="T1001" s="874"/>
      <c r="W1001" s="874"/>
      <c r="X1001" s="874"/>
      <c r="Y1001" s="874"/>
      <c r="Z1001" s="874"/>
      <c r="AA1001" s="874"/>
      <c r="AD1001" s="526"/>
      <c r="AE1001" s="526"/>
      <c r="AF1001" s="526"/>
      <c r="AG1001" s="526"/>
      <c r="AH1001" s="526"/>
      <c r="AI1001" s="526"/>
      <c r="AJ1001" s="526"/>
      <c r="AK1001" s="526"/>
      <c r="AL1001" s="526"/>
      <c r="AM1001" s="526"/>
      <c r="AN1001" s="526"/>
      <c r="AO1001" s="526"/>
      <c r="AP1001" s="526"/>
      <c r="AQ1001" s="526"/>
      <c r="AR1001" s="526"/>
      <c r="AS1001" s="526"/>
      <c r="AT1001" s="526"/>
      <c r="AU1001" s="526"/>
      <c r="AV1001" s="526"/>
      <c r="AW1001" s="526"/>
      <c r="AX1001" s="526"/>
      <c r="AY1001" s="526"/>
      <c r="AZ1001" s="526"/>
      <c r="BA1001" s="526"/>
      <c r="BB1001" s="526"/>
      <c r="BC1001" s="526"/>
      <c r="BD1001" s="526"/>
      <c r="BE1001" s="526"/>
      <c r="BF1001" s="526"/>
      <c r="BG1001" s="526"/>
    </row>
    <row r="1002" spans="1:59" s="830" customFormat="1" ht="17.25" customHeight="1" x14ac:dyDescent="0.25">
      <c r="A1002" s="865"/>
      <c r="B1002" s="865"/>
      <c r="C1002" s="908"/>
      <c r="G1002" s="865"/>
      <c r="H1002" s="874"/>
      <c r="I1002" s="869"/>
      <c r="J1002" s="869"/>
      <c r="K1002" s="869"/>
      <c r="L1002" s="869"/>
      <c r="M1002" s="874"/>
      <c r="O1002" s="874"/>
      <c r="P1002" s="874"/>
      <c r="Q1002" s="874"/>
      <c r="R1002" s="874"/>
      <c r="S1002" s="874"/>
      <c r="T1002" s="874"/>
      <c r="W1002" s="874"/>
      <c r="X1002" s="874"/>
      <c r="Y1002" s="874"/>
      <c r="Z1002" s="874"/>
      <c r="AA1002" s="874"/>
      <c r="AD1002" s="526"/>
      <c r="AE1002" s="526"/>
      <c r="AF1002" s="526"/>
      <c r="AG1002" s="526"/>
      <c r="AH1002" s="526"/>
      <c r="AI1002" s="526"/>
      <c r="AJ1002" s="526"/>
      <c r="AK1002" s="526"/>
      <c r="AL1002" s="526"/>
      <c r="AM1002" s="526"/>
      <c r="AN1002" s="526"/>
      <c r="AO1002" s="526"/>
      <c r="AP1002" s="526"/>
      <c r="AQ1002" s="526"/>
      <c r="AR1002" s="526"/>
      <c r="AS1002" s="526"/>
      <c r="AT1002" s="526"/>
      <c r="AU1002" s="526"/>
      <c r="AV1002" s="526"/>
      <c r="AW1002" s="526"/>
      <c r="AX1002" s="526"/>
      <c r="AY1002" s="526"/>
      <c r="AZ1002" s="526"/>
      <c r="BA1002" s="526"/>
      <c r="BB1002" s="526"/>
      <c r="BC1002" s="526"/>
      <c r="BD1002" s="526"/>
      <c r="BE1002" s="526"/>
      <c r="BF1002" s="526"/>
      <c r="BG1002" s="526"/>
    </row>
    <row r="1003" spans="1:59" x14ac:dyDescent="0.25">
      <c r="C1003" s="906"/>
    </row>
    <row r="1004" spans="1:59" x14ac:dyDescent="0.25">
      <c r="C1004" s="906"/>
    </row>
    <row r="1005" spans="1:59" x14ac:dyDescent="0.25">
      <c r="C1005" s="906"/>
    </row>
    <row r="1006" spans="1:59" x14ac:dyDescent="0.25">
      <c r="C1006" s="906"/>
    </row>
    <row r="1007" spans="1:59" x14ac:dyDescent="0.25">
      <c r="C1007" s="906"/>
    </row>
    <row r="1008" spans="1:59" x14ac:dyDescent="0.25">
      <c r="C1008" s="906"/>
    </row>
    <row r="1009" spans="3:3" x14ac:dyDescent="0.25">
      <c r="C1009" s="906"/>
    </row>
    <row r="1010" spans="3:3" x14ac:dyDescent="0.25">
      <c r="C1010" s="906"/>
    </row>
    <row r="1011" spans="3:3" x14ac:dyDescent="0.25">
      <c r="C1011" s="906"/>
    </row>
    <row r="1012" spans="3:3" x14ac:dyDescent="0.25">
      <c r="C1012" s="906"/>
    </row>
    <row r="1013" spans="3:3" x14ac:dyDescent="0.25">
      <c r="C1013" s="906"/>
    </row>
    <row r="1014" spans="3:3" x14ac:dyDescent="0.25">
      <c r="C1014" s="906"/>
    </row>
    <row r="1015" spans="3:3" x14ac:dyDescent="0.25">
      <c r="C1015" s="906"/>
    </row>
    <row r="1016" spans="3:3" x14ac:dyDescent="0.25">
      <c r="C1016" s="906"/>
    </row>
    <row r="1017" spans="3:3" x14ac:dyDescent="0.25">
      <c r="C1017" s="906"/>
    </row>
    <row r="1018" spans="3:3" x14ac:dyDescent="0.25">
      <c r="C1018" s="906"/>
    </row>
    <row r="1019" spans="3:3" x14ac:dyDescent="0.25">
      <c r="C1019" s="906"/>
    </row>
    <row r="1020" spans="3:3" x14ac:dyDescent="0.25">
      <c r="C1020" s="906"/>
    </row>
    <row r="1021" spans="3:3" x14ac:dyDescent="0.25">
      <c r="C1021" s="906"/>
    </row>
    <row r="1022" spans="3:3" x14ac:dyDescent="0.25">
      <c r="C1022" s="906"/>
    </row>
    <row r="1023" spans="3:3" x14ac:dyDescent="0.25">
      <c r="C1023" s="906"/>
    </row>
    <row r="1024" spans="3:3" x14ac:dyDescent="0.25">
      <c r="C1024" s="906"/>
    </row>
    <row r="1025" spans="3:3" x14ac:dyDescent="0.25">
      <c r="C1025" s="906"/>
    </row>
    <row r="1026" spans="3:3" x14ac:dyDescent="0.25">
      <c r="C1026" s="906"/>
    </row>
    <row r="1027" spans="3:3" x14ac:dyDescent="0.25">
      <c r="C1027" s="906"/>
    </row>
    <row r="1028" spans="3:3" x14ac:dyDescent="0.25">
      <c r="C1028" s="906"/>
    </row>
    <row r="1029" spans="3:3" x14ac:dyDescent="0.25">
      <c r="C1029" s="906"/>
    </row>
    <row r="1030" spans="3:3" x14ac:dyDescent="0.25">
      <c r="C1030" s="906"/>
    </row>
    <row r="1031" spans="3:3" x14ac:dyDescent="0.25">
      <c r="C1031" s="906"/>
    </row>
    <row r="1032" spans="3:3" x14ac:dyDescent="0.25">
      <c r="C1032" s="906"/>
    </row>
    <row r="1033" spans="3:3" x14ac:dyDescent="0.25">
      <c r="C1033" s="906"/>
    </row>
    <row r="1034" spans="3:3" x14ac:dyDescent="0.25">
      <c r="C1034" s="906"/>
    </row>
    <row r="1035" spans="3:3" x14ac:dyDescent="0.25">
      <c r="C1035" s="906"/>
    </row>
    <row r="1036" spans="3:3" x14ac:dyDescent="0.25">
      <c r="C1036" s="906"/>
    </row>
    <row r="1037" spans="3:3" x14ac:dyDescent="0.25">
      <c r="C1037" s="906"/>
    </row>
    <row r="1038" spans="3:3" x14ac:dyDescent="0.25">
      <c r="C1038" s="906"/>
    </row>
    <row r="1039" spans="3:3" x14ac:dyDescent="0.25">
      <c r="C1039" s="906"/>
    </row>
    <row r="1040" spans="3:3" x14ac:dyDescent="0.25">
      <c r="C1040" s="906"/>
    </row>
    <row r="1041" spans="3:3" x14ac:dyDescent="0.25">
      <c r="C1041" s="906"/>
    </row>
    <row r="1042" spans="3:3" x14ac:dyDescent="0.25">
      <c r="C1042" s="906"/>
    </row>
    <row r="1043" spans="3:3" x14ac:dyDescent="0.25">
      <c r="C1043" s="906"/>
    </row>
    <row r="1044" spans="3:3" x14ac:dyDescent="0.25">
      <c r="C1044" s="906"/>
    </row>
    <row r="1045" spans="3:3" x14ac:dyDescent="0.25">
      <c r="C1045" s="906"/>
    </row>
    <row r="1046" spans="3:3" x14ac:dyDescent="0.25">
      <c r="C1046" s="906"/>
    </row>
    <row r="1047" spans="3:3" x14ac:dyDescent="0.25">
      <c r="C1047" s="906"/>
    </row>
    <row r="1048" spans="3:3" x14ac:dyDescent="0.25">
      <c r="C1048" s="906"/>
    </row>
    <row r="1049" spans="3:3" x14ac:dyDescent="0.25">
      <c r="C1049" s="906"/>
    </row>
    <row r="1050" spans="3:3" x14ac:dyDescent="0.25">
      <c r="C1050" s="906"/>
    </row>
    <row r="1051" spans="3:3" x14ac:dyDescent="0.25">
      <c r="C1051" s="906"/>
    </row>
    <row r="1052" spans="3:3" x14ac:dyDescent="0.25">
      <c r="C1052" s="906"/>
    </row>
    <row r="1053" spans="3:3" x14ac:dyDescent="0.25">
      <c r="C1053" s="906"/>
    </row>
    <row r="1054" spans="3:3" x14ac:dyDescent="0.25">
      <c r="C1054" s="906"/>
    </row>
    <row r="1055" spans="3:3" x14ac:dyDescent="0.25">
      <c r="C1055" s="906"/>
    </row>
    <row r="1056" spans="3:3" x14ac:dyDescent="0.25">
      <c r="C1056" s="906"/>
    </row>
    <row r="1057" spans="3:3" x14ac:dyDescent="0.25">
      <c r="C1057" s="906"/>
    </row>
    <row r="1058" spans="3:3" x14ac:dyDescent="0.25">
      <c r="C1058" s="906"/>
    </row>
    <row r="1059" spans="3:3" x14ac:dyDescent="0.25">
      <c r="C1059" s="906"/>
    </row>
    <row r="1060" spans="3:3" x14ac:dyDescent="0.25">
      <c r="C1060" s="906"/>
    </row>
    <row r="1061" spans="3:3" x14ac:dyDescent="0.25">
      <c r="C1061" s="906"/>
    </row>
    <row r="1062" spans="3:3" x14ac:dyDescent="0.25">
      <c r="C1062" s="906"/>
    </row>
    <row r="1063" spans="3:3" x14ac:dyDescent="0.25">
      <c r="C1063" s="906"/>
    </row>
    <row r="1064" spans="3:3" x14ac:dyDescent="0.25">
      <c r="C1064" s="906"/>
    </row>
    <row r="1065" spans="3:3" x14ac:dyDescent="0.25">
      <c r="C1065" s="906"/>
    </row>
    <row r="1066" spans="3:3" x14ac:dyDescent="0.25">
      <c r="C1066" s="906"/>
    </row>
    <row r="1067" spans="3:3" x14ac:dyDescent="0.25">
      <c r="C1067" s="906"/>
    </row>
    <row r="1068" spans="3:3" x14ac:dyDescent="0.25">
      <c r="C1068" s="906"/>
    </row>
    <row r="1069" spans="3:3" x14ac:dyDescent="0.25">
      <c r="C1069" s="906"/>
    </row>
    <row r="1070" spans="3:3" x14ac:dyDescent="0.25">
      <c r="C1070" s="906"/>
    </row>
    <row r="1071" spans="3:3" x14ac:dyDescent="0.25">
      <c r="C1071" s="906"/>
    </row>
    <row r="1072" spans="3:3" x14ac:dyDescent="0.25">
      <c r="C1072" s="906"/>
    </row>
    <row r="1073" spans="3:3" x14ac:dyDescent="0.25">
      <c r="C1073" s="906"/>
    </row>
    <row r="1074" spans="3:3" x14ac:dyDescent="0.25">
      <c r="C1074" s="906"/>
    </row>
    <row r="1075" spans="3:3" x14ac:dyDescent="0.25">
      <c r="C1075" s="906"/>
    </row>
    <row r="1076" spans="3:3" x14ac:dyDescent="0.25">
      <c r="C1076" s="906"/>
    </row>
    <row r="1077" spans="3:3" x14ac:dyDescent="0.25">
      <c r="C1077" s="906"/>
    </row>
    <row r="1078" spans="3:3" x14ac:dyDescent="0.25">
      <c r="C1078" s="906"/>
    </row>
    <row r="1079" spans="3:3" x14ac:dyDescent="0.25">
      <c r="C1079" s="906"/>
    </row>
    <row r="1080" spans="3:3" x14ac:dyDescent="0.25">
      <c r="C1080" s="906"/>
    </row>
    <row r="1081" spans="3:3" x14ac:dyDescent="0.25">
      <c r="C1081" s="906"/>
    </row>
    <row r="1082" spans="3:3" x14ac:dyDescent="0.25">
      <c r="C1082" s="906"/>
    </row>
    <row r="1083" spans="3:3" x14ac:dyDescent="0.25">
      <c r="C1083" s="906"/>
    </row>
    <row r="1084" spans="3:3" x14ac:dyDescent="0.25">
      <c r="C1084" s="906"/>
    </row>
    <row r="1085" spans="3:3" x14ac:dyDescent="0.25">
      <c r="C1085" s="906"/>
    </row>
    <row r="1086" spans="3:3" x14ac:dyDescent="0.25">
      <c r="C1086" s="906"/>
    </row>
    <row r="1087" spans="3:3" x14ac:dyDescent="0.25">
      <c r="C1087" s="906"/>
    </row>
    <row r="1088" spans="3:3" x14ac:dyDescent="0.25">
      <c r="C1088" s="906"/>
    </row>
    <row r="1089" spans="3:3" x14ac:dyDescent="0.25">
      <c r="C1089" s="906"/>
    </row>
    <row r="1090" spans="3:3" x14ac:dyDescent="0.25">
      <c r="C1090" s="906"/>
    </row>
    <row r="1091" spans="3:3" x14ac:dyDescent="0.25">
      <c r="C1091" s="906"/>
    </row>
    <row r="1092" spans="3:3" x14ac:dyDescent="0.25">
      <c r="C1092" s="906"/>
    </row>
    <row r="1093" spans="3:3" x14ac:dyDescent="0.25">
      <c r="C1093" s="906"/>
    </row>
    <row r="1094" spans="3:3" x14ac:dyDescent="0.25">
      <c r="C1094" s="906"/>
    </row>
    <row r="1095" spans="3:3" x14ac:dyDescent="0.25">
      <c r="C1095" s="906"/>
    </row>
    <row r="1096" spans="3:3" x14ac:dyDescent="0.25">
      <c r="C1096" s="906"/>
    </row>
    <row r="1097" spans="3:3" x14ac:dyDescent="0.25">
      <c r="C1097" s="906"/>
    </row>
    <row r="1098" spans="3:3" x14ac:dyDescent="0.25">
      <c r="C1098" s="906"/>
    </row>
    <row r="1099" spans="3:3" x14ac:dyDescent="0.25">
      <c r="C1099" s="906"/>
    </row>
    <row r="1100" spans="3:3" x14ac:dyDescent="0.25">
      <c r="C1100" s="906"/>
    </row>
    <row r="1101" spans="3:3" x14ac:dyDescent="0.25">
      <c r="C1101" s="906"/>
    </row>
    <row r="1102" spans="3:3" x14ac:dyDescent="0.25">
      <c r="C1102" s="906"/>
    </row>
    <row r="1103" spans="3:3" x14ac:dyDescent="0.25">
      <c r="C1103" s="906"/>
    </row>
    <row r="1104" spans="3:3" x14ac:dyDescent="0.25">
      <c r="C1104" s="906"/>
    </row>
    <row r="1105" spans="3:3" x14ac:dyDescent="0.25">
      <c r="C1105" s="906"/>
    </row>
    <row r="1106" spans="3:3" x14ac:dyDescent="0.25">
      <c r="C1106" s="906"/>
    </row>
    <row r="1107" spans="3:3" x14ac:dyDescent="0.25">
      <c r="C1107" s="906"/>
    </row>
    <row r="1108" spans="3:3" x14ac:dyDescent="0.25">
      <c r="C1108" s="906"/>
    </row>
    <row r="1109" spans="3:3" x14ac:dyDescent="0.25">
      <c r="C1109" s="906"/>
    </row>
    <row r="1110" spans="3:3" x14ac:dyDescent="0.25">
      <c r="C1110" s="906"/>
    </row>
    <row r="1111" spans="3:3" x14ac:dyDescent="0.25">
      <c r="C1111" s="906"/>
    </row>
    <row r="1112" spans="3:3" x14ac:dyDescent="0.25">
      <c r="C1112" s="906"/>
    </row>
    <row r="1113" spans="3:3" x14ac:dyDescent="0.25">
      <c r="C1113" s="906"/>
    </row>
    <row r="1114" spans="3:3" x14ac:dyDescent="0.25">
      <c r="C1114" s="906"/>
    </row>
    <row r="1115" spans="3:3" x14ac:dyDescent="0.25">
      <c r="C1115" s="906"/>
    </row>
    <row r="1116" spans="3:3" x14ac:dyDescent="0.25">
      <c r="C1116" s="906"/>
    </row>
    <row r="1117" spans="3:3" x14ac:dyDescent="0.25">
      <c r="C1117" s="906"/>
    </row>
    <row r="1118" spans="3:3" x14ac:dyDescent="0.25">
      <c r="C1118" s="906"/>
    </row>
    <row r="1119" spans="3:3" x14ac:dyDescent="0.25">
      <c r="C1119" s="906"/>
    </row>
    <row r="1120" spans="3:3" x14ac:dyDescent="0.25">
      <c r="C1120" s="906"/>
    </row>
    <row r="1121" spans="3:3" x14ac:dyDescent="0.25">
      <c r="C1121" s="906"/>
    </row>
    <row r="1122" spans="3:3" x14ac:dyDescent="0.25">
      <c r="C1122" s="906"/>
    </row>
    <row r="1123" spans="3:3" x14ac:dyDescent="0.25">
      <c r="C1123" s="906"/>
    </row>
    <row r="1124" spans="3:3" x14ac:dyDescent="0.25">
      <c r="C1124" s="906"/>
    </row>
    <row r="1125" spans="3:3" x14ac:dyDescent="0.25">
      <c r="C1125" s="906"/>
    </row>
    <row r="1126" spans="3:3" x14ac:dyDescent="0.25">
      <c r="C1126" s="906"/>
    </row>
    <row r="1127" spans="3:3" x14ac:dyDescent="0.25">
      <c r="C1127" s="906"/>
    </row>
    <row r="1128" spans="3:3" x14ac:dyDescent="0.25">
      <c r="C1128" s="906"/>
    </row>
    <row r="1129" spans="3:3" x14ac:dyDescent="0.25">
      <c r="C1129" s="906"/>
    </row>
    <row r="1130" spans="3:3" x14ac:dyDescent="0.25">
      <c r="C1130" s="906"/>
    </row>
    <row r="1131" spans="3:3" x14ac:dyDescent="0.25">
      <c r="C1131" s="906"/>
    </row>
    <row r="1132" spans="3:3" x14ac:dyDescent="0.25">
      <c r="C1132" s="906"/>
    </row>
    <row r="1133" spans="3:3" x14ac:dyDescent="0.25">
      <c r="C1133" s="906"/>
    </row>
    <row r="1134" spans="3:3" x14ac:dyDescent="0.25">
      <c r="C1134" s="906"/>
    </row>
    <row r="1135" spans="3:3" x14ac:dyDescent="0.25">
      <c r="C1135" s="906"/>
    </row>
    <row r="1136" spans="3:3" x14ac:dyDescent="0.25">
      <c r="C1136" s="906"/>
    </row>
    <row r="1137" spans="3:3" x14ac:dyDescent="0.25">
      <c r="C1137" s="906"/>
    </row>
    <row r="1138" spans="3:3" x14ac:dyDescent="0.25">
      <c r="C1138" s="906"/>
    </row>
    <row r="1139" spans="3:3" x14ac:dyDescent="0.25">
      <c r="C1139" s="906"/>
    </row>
    <row r="1140" spans="3:3" x14ac:dyDescent="0.25">
      <c r="C1140" s="906"/>
    </row>
    <row r="1141" spans="3:3" x14ac:dyDescent="0.25">
      <c r="C1141" s="906"/>
    </row>
    <row r="1142" spans="3:3" x14ac:dyDescent="0.25">
      <c r="C1142" s="906"/>
    </row>
    <row r="1143" spans="3:3" x14ac:dyDescent="0.25">
      <c r="C1143" s="906"/>
    </row>
    <row r="1144" spans="3:3" x14ac:dyDescent="0.25">
      <c r="C1144" s="906"/>
    </row>
    <row r="1145" spans="3:3" x14ac:dyDescent="0.25">
      <c r="C1145" s="906"/>
    </row>
    <row r="1146" spans="3:3" x14ac:dyDescent="0.25">
      <c r="C1146" s="906"/>
    </row>
    <row r="1147" spans="3:3" x14ac:dyDescent="0.25">
      <c r="C1147" s="906"/>
    </row>
    <row r="1148" spans="3:3" x14ac:dyDescent="0.25">
      <c r="C1148" s="906"/>
    </row>
    <row r="1149" spans="3:3" x14ac:dyDescent="0.25">
      <c r="C1149" s="906"/>
    </row>
    <row r="1150" spans="3:3" x14ac:dyDescent="0.25">
      <c r="C1150" s="906"/>
    </row>
    <row r="1151" spans="3:3" x14ac:dyDescent="0.25">
      <c r="C1151" s="906"/>
    </row>
    <row r="1152" spans="3:3" x14ac:dyDescent="0.25">
      <c r="C1152" s="906"/>
    </row>
    <row r="1153" spans="3:3" x14ac:dyDescent="0.25">
      <c r="C1153" s="906"/>
    </row>
    <row r="1154" spans="3:3" x14ac:dyDescent="0.25">
      <c r="C1154" s="906"/>
    </row>
    <row r="1155" spans="3:3" x14ac:dyDescent="0.25">
      <c r="C1155" s="906"/>
    </row>
    <row r="1156" spans="3:3" x14ac:dyDescent="0.25">
      <c r="C1156" s="906"/>
    </row>
    <row r="1157" spans="3:3" x14ac:dyDescent="0.25">
      <c r="C1157" s="906"/>
    </row>
    <row r="1158" spans="3:3" x14ac:dyDescent="0.25">
      <c r="C1158" s="906"/>
    </row>
    <row r="1159" spans="3:3" x14ac:dyDescent="0.25">
      <c r="C1159" s="906"/>
    </row>
    <row r="1160" spans="3:3" x14ac:dyDescent="0.25">
      <c r="C1160" s="906"/>
    </row>
    <row r="1161" spans="3:3" x14ac:dyDescent="0.25">
      <c r="C1161" s="906"/>
    </row>
    <row r="1162" spans="3:3" x14ac:dyDescent="0.25">
      <c r="C1162" s="906"/>
    </row>
    <row r="1163" spans="3:3" x14ac:dyDescent="0.25">
      <c r="C1163" s="906"/>
    </row>
    <row r="1164" spans="3:3" x14ac:dyDescent="0.25">
      <c r="C1164" s="906"/>
    </row>
    <row r="1165" spans="3:3" x14ac:dyDescent="0.25">
      <c r="C1165" s="906"/>
    </row>
    <row r="1166" spans="3:3" x14ac:dyDescent="0.25">
      <c r="C1166" s="906"/>
    </row>
    <row r="1167" spans="3:3" x14ac:dyDescent="0.25">
      <c r="C1167" s="906"/>
    </row>
    <row r="1168" spans="3:3" x14ac:dyDescent="0.25">
      <c r="C1168" s="906"/>
    </row>
    <row r="1169" spans="3:3" x14ac:dyDescent="0.25">
      <c r="C1169" s="906"/>
    </row>
    <row r="1170" spans="3:3" x14ac:dyDescent="0.25">
      <c r="C1170" s="906"/>
    </row>
    <row r="1171" spans="3:3" x14ac:dyDescent="0.25">
      <c r="C1171" s="906"/>
    </row>
    <row r="1172" spans="3:3" x14ac:dyDescent="0.25">
      <c r="C1172" s="906"/>
    </row>
    <row r="1173" spans="3:3" x14ac:dyDescent="0.25">
      <c r="C1173" s="906"/>
    </row>
    <row r="1174" spans="3:3" x14ac:dyDescent="0.25">
      <c r="C1174" s="906"/>
    </row>
    <row r="1175" spans="3:3" x14ac:dyDescent="0.25">
      <c r="C1175" s="906"/>
    </row>
    <row r="1176" spans="3:3" x14ac:dyDescent="0.25">
      <c r="C1176" s="906"/>
    </row>
    <row r="1177" spans="3:3" x14ac:dyDescent="0.25">
      <c r="C1177" s="906"/>
    </row>
    <row r="1178" spans="3:3" x14ac:dyDescent="0.25">
      <c r="C1178" s="906"/>
    </row>
    <row r="1179" spans="3:3" x14ac:dyDescent="0.25">
      <c r="C1179" s="906"/>
    </row>
    <row r="1180" spans="3:3" x14ac:dyDescent="0.25">
      <c r="C1180" s="906"/>
    </row>
    <row r="1181" spans="3:3" x14ac:dyDescent="0.25">
      <c r="C1181" s="906"/>
    </row>
    <row r="1182" spans="3:3" x14ac:dyDescent="0.25">
      <c r="C1182" s="906"/>
    </row>
    <row r="1183" spans="3:3" x14ac:dyDescent="0.25">
      <c r="C1183" s="906"/>
    </row>
    <row r="1184" spans="3:3" x14ac:dyDescent="0.25">
      <c r="C1184" s="906"/>
    </row>
    <row r="1185" spans="3:3" x14ac:dyDescent="0.25">
      <c r="C1185" s="906"/>
    </row>
    <row r="1186" spans="3:3" x14ac:dyDescent="0.25">
      <c r="C1186" s="906"/>
    </row>
    <row r="1187" spans="3:3" x14ac:dyDescent="0.25">
      <c r="C1187" s="906"/>
    </row>
    <row r="1188" spans="3:3" x14ac:dyDescent="0.25">
      <c r="C1188" s="906"/>
    </row>
    <row r="1189" spans="3:3" x14ac:dyDescent="0.25">
      <c r="C1189" s="906"/>
    </row>
    <row r="1190" spans="3:3" x14ac:dyDescent="0.25">
      <c r="C1190" s="906"/>
    </row>
    <row r="1191" spans="3:3" x14ac:dyDescent="0.25">
      <c r="C1191" s="906"/>
    </row>
    <row r="1192" spans="3:3" x14ac:dyDescent="0.25">
      <c r="C1192" s="906"/>
    </row>
    <row r="1193" spans="3:3" x14ac:dyDescent="0.25">
      <c r="C1193" s="906"/>
    </row>
    <row r="1194" spans="3:3" x14ac:dyDescent="0.25">
      <c r="C1194" s="906"/>
    </row>
    <row r="1195" spans="3:3" x14ac:dyDescent="0.25">
      <c r="C1195" s="906"/>
    </row>
    <row r="1196" spans="3:3" x14ac:dyDescent="0.25">
      <c r="C1196" s="906"/>
    </row>
    <row r="1197" spans="3:3" x14ac:dyDescent="0.25">
      <c r="C1197" s="906"/>
    </row>
    <row r="1198" spans="3:3" x14ac:dyDescent="0.25">
      <c r="C1198" s="906"/>
    </row>
    <row r="1199" spans="3:3" x14ac:dyDescent="0.25">
      <c r="C1199" s="906"/>
    </row>
    <row r="1200" spans="3:3" x14ac:dyDescent="0.25">
      <c r="C1200" s="906"/>
    </row>
    <row r="1201" spans="3:3" x14ac:dyDescent="0.25">
      <c r="C1201" s="906"/>
    </row>
    <row r="1202" spans="3:3" x14ac:dyDescent="0.25">
      <c r="C1202" s="906"/>
    </row>
    <row r="1203" spans="3:3" x14ac:dyDescent="0.25">
      <c r="C1203" s="906"/>
    </row>
    <row r="1204" spans="3:3" x14ac:dyDescent="0.25">
      <c r="C1204" s="906"/>
    </row>
    <row r="1205" spans="3:3" x14ac:dyDescent="0.25">
      <c r="C1205" s="906"/>
    </row>
    <row r="1206" spans="3:3" x14ac:dyDescent="0.25">
      <c r="C1206" s="906"/>
    </row>
    <row r="1207" spans="3:3" x14ac:dyDescent="0.25">
      <c r="C1207" s="906"/>
    </row>
    <row r="1208" spans="3:3" x14ac:dyDescent="0.25">
      <c r="C1208" s="906"/>
    </row>
    <row r="1209" spans="3:3" x14ac:dyDescent="0.25">
      <c r="C1209" s="906"/>
    </row>
    <row r="1210" spans="3:3" x14ac:dyDescent="0.25">
      <c r="C1210" s="906"/>
    </row>
    <row r="1211" spans="3:3" x14ac:dyDescent="0.25">
      <c r="C1211" s="906"/>
    </row>
    <row r="1212" spans="3:3" x14ac:dyDescent="0.25">
      <c r="C1212" s="906"/>
    </row>
    <row r="1213" spans="3:3" x14ac:dyDescent="0.25">
      <c r="C1213" s="906"/>
    </row>
    <row r="1214" spans="3:3" x14ac:dyDescent="0.25">
      <c r="C1214" s="906"/>
    </row>
    <row r="1215" spans="3:3" x14ac:dyDescent="0.25">
      <c r="C1215" s="906"/>
    </row>
    <row r="1216" spans="3:3" x14ac:dyDescent="0.25">
      <c r="C1216" s="906"/>
    </row>
    <row r="1217" spans="3:3" x14ac:dyDescent="0.25">
      <c r="C1217" s="906"/>
    </row>
    <row r="1218" spans="3:3" x14ac:dyDescent="0.25">
      <c r="C1218" s="906"/>
    </row>
    <row r="1219" spans="3:3" x14ac:dyDescent="0.25">
      <c r="C1219" s="906"/>
    </row>
    <row r="1220" spans="3:3" x14ac:dyDescent="0.25">
      <c r="C1220" s="906"/>
    </row>
    <row r="1221" spans="3:3" x14ac:dyDescent="0.25">
      <c r="C1221" s="906"/>
    </row>
    <row r="1222" spans="3:3" x14ac:dyDescent="0.25">
      <c r="C1222" s="906"/>
    </row>
    <row r="1223" spans="3:3" x14ac:dyDescent="0.25">
      <c r="C1223" s="906"/>
    </row>
    <row r="1224" spans="3:3" x14ac:dyDescent="0.25">
      <c r="C1224" s="906"/>
    </row>
    <row r="1225" spans="3:3" x14ac:dyDescent="0.25">
      <c r="C1225" s="906"/>
    </row>
    <row r="1226" spans="3:3" x14ac:dyDescent="0.25">
      <c r="C1226" s="906"/>
    </row>
    <row r="1227" spans="3:3" x14ac:dyDescent="0.25">
      <c r="C1227" s="906"/>
    </row>
    <row r="1228" spans="3:3" x14ac:dyDescent="0.25">
      <c r="C1228" s="906"/>
    </row>
    <row r="1229" spans="3:3" x14ac:dyDescent="0.25">
      <c r="C1229" s="906"/>
    </row>
    <row r="1230" spans="3:3" x14ac:dyDescent="0.25">
      <c r="C1230" s="906"/>
    </row>
    <row r="1231" spans="3:3" x14ac:dyDescent="0.25">
      <c r="C1231" s="906"/>
    </row>
    <row r="1232" spans="3:3" x14ac:dyDescent="0.25">
      <c r="C1232" s="906"/>
    </row>
    <row r="1233" spans="3:3" x14ac:dyDescent="0.25">
      <c r="C1233" s="906"/>
    </row>
    <row r="1234" spans="3:3" x14ac:dyDescent="0.25">
      <c r="C1234" s="906"/>
    </row>
    <row r="1235" spans="3:3" x14ac:dyDescent="0.25">
      <c r="C1235" s="906"/>
    </row>
    <row r="1236" spans="3:3" x14ac:dyDescent="0.25">
      <c r="C1236" s="906"/>
    </row>
    <row r="1237" spans="3:3" x14ac:dyDescent="0.25">
      <c r="C1237" s="906"/>
    </row>
    <row r="1238" spans="3:3" x14ac:dyDescent="0.25">
      <c r="C1238" s="906"/>
    </row>
    <row r="1239" spans="3:3" x14ac:dyDescent="0.25">
      <c r="C1239" s="906"/>
    </row>
    <row r="1240" spans="3:3" x14ac:dyDescent="0.25">
      <c r="C1240" s="906"/>
    </row>
    <row r="1241" spans="3:3" x14ac:dyDescent="0.25">
      <c r="C1241" s="906"/>
    </row>
    <row r="1242" spans="3:3" x14ac:dyDescent="0.25">
      <c r="C1242" s="906"/>
    </row>
    <row r="1243" spans="3:3" x14ac:dyDescent="0.25">
      <c r="C1243" s="906"/>
    </row>
    <row r="1244" spans="3:3" x14ac:dyDescent="0.25">
      <c r="C1244" s="906"/>
    </row>
    <row r="1245" spans="3:3" x14ac:dyDescent="0.25">
      <c r="C1245" s="906"/>
    </row>
    <row r="1246" spans="3:3" x14ac:dyDescent="0.25">
      <c r="C1246" s="906"/>
    </row>
    <row r="1247" spans="3:3" x14ac:dyDescent="0.25">
      <c r="C1247" s="906"/>
    </row>
    <row r="1248" spans="3:3" x14ac:dyDescent="0.25">
      <c r="C1248" s="906"/>
    </row>
    <row r="1249" spans="3:3" x14ac:dyDescent="0.25">
      <c r="C1249" s="906"/>
    </row>
    <row r="1250" spans="3:3" x14ac:dyDescent="0.25">
      <c r="C1250" s="906"/>
    </row>
    <row r="1251" spans="3:3" x14ac:dyDescent="0.25">
      <c r="C1251" s="906"/>
    </row>
    <row r="1252" spans="3:3" x14ac:dyDescent="0.25">
      <c r="C1252" s="906"/>
    </row>
    <row r="1253" spans="3:3" x14ac:dyDescent="0.25">
      <c r="C1253" s="906"/>
    </row>
    <row r="1254" spans="3:3" x14ac:dyDescent="0.25">
      <c r="C1254" s="906"/>
    </row>
    <row r="1255" spans="3:3" x14ac:dyDescent="0.25">
      <c r="C1255" s="906"/>
    </row>
    <row r="1256" spans="3:3" x14ac:dyDescent="0.25">
      <c r="C1256" s="906"/>
    </row>
    <row r="1257" spans="3:3" x14ac:dyDescent="0.25">
      <c r="C1257" s="906"/>
    </row>
    <row r="1258" spans="3:3" x14ac:dyDescent="0.25">
      <c r="C1258" s="906"/>
    </row>
    <row r="1259" spans="3:3" x14ac:dyDescent="0.25">
      <c r="C1259" s="906"/>
    </row>
    <row r="1260" spans="3:3" x14ac:dyDescent="0.25">
      <c r="C1260" s="906"/>
    </row>
    <row r="1261" spans="3:3" x14ac:dyDescent="0.25">
      <c r="C1261" s="906"/>
    </row>
    <row r="1262" spans="3:3" x14ac:dyDescent="0.25">
      <c r="C1262" s="906"/>
    </row>
    <row r="1263" spans="3:3" x14ac:dyDescent="0.25">
      <c r="C1263" s="906"/>
    </row>
    <row r="1264" spans="3:3" x14ac:dyDescent="0.25">
      <c r="C1264" s="906"/>
    </row>
    <row r="1265" spans="3:3" x14ac:dyDescent="0.25">
      <c r="C1265" s="906"/>
    </row>
    <row r="1266" spans="3:3" x14ac:dyDescent="0.25">
      <c r="C1266" s="906"/>
    </row>
    <row r="1267" spans="3:3" x14ac:dyDescent="0.25">
      <c r="C1267" s="906"/>
    </row>
    <row r="1268" spans="3:3" x14ac:dyDescent="0.25">
      <c r="C1268" s="906"/>
    </row>
    <row r="1269" spans="3:3" x14ac:dyDescent="0.25">
      <c r="C1269" s="906"/>
    </row>
    <row r="1270" spans="3:3" x14ac:dyDescent="0.25">
      <c r="C1270" s="906"/>
    </row>
    <row r="1271" spans="3:3" x14ac:dyDescent="0.25">
      <c r="C1271" s="906"/>
    </row>
    <row r="1272" spans="3:3" x14ac:dyDescent="0.25">
      <c r="C1272" s="906"/>
    </row>
    <row r="1273" spans="3:3" x14ac:dyDescent="0.25">
      <c r="C1273" s="906"/>
    </row>
    <row r="1274" spans="3:3" x14ac:dyDescent="0.25">
      <c r="C1274" s="906"/>
    </row>
    <row r="1275" spans="3:3" x14ac:dyDescent="0.25">
      <c r="C1275" s="906"/>
    </row>
    <row r="1276" spans="3:3" x14ac:dyDescent="0.25">
      <c r="C1276" s="906"/>
    </row>
    <row r="1277" spans="3:3" x14ac:dyDescent="0.25">
      <c r="C1277" s="906"/>
    </row>
    <row r="1278" spans="3:3" x14ac:dyDescent="0.25">
      <c r="C1278" s="906"/>
    </row>
    <row r="1279" spans="3:3" x14ac:dyDescent="0.25">
      <c r="C1279" s="906"/>
    </row>
    <row r="1280" spans="3:3" x14ac:dyDescent="0.25">
      <c r="C1280" s="906"/>
    </row>
    <row r="1281" spans="3:3" x14ac:dyDescent="0.25">
      <c r="C1281" s="906"/>
    </row>
    <row r="1282" spans="3:3" x14ac:dyDescent="0.25">
      <c r="C1282" s="906"/>
    </row>
    <row r="1283" spans="3:3" x14ac:dyDescent="0.25">
      <c r="C1283" s="906"/>
    </row>
    <row r="1284" spans="3:3" x14ac:dyDescent="0.25">
      <c r="C1284" s="906"/>
    </row>
    <row r="1285" spans="3:3" x14ac:dyDescent="0.25">
      <c r="C1285" s="906"/>
    </row>
    <row r="1286" spans="3:3" x14ac:dyDescent="0.25">
      <c r="C1286" s="906"/>
    </row>
    <row r="1287" spans="3:3" x14ac:dyDescent="0.25">
      <c r="C1287" s="906"/>
    </row>
    <row r="1288" spans="3:3" x14ac:dyDescent="0.25">
      <c r="C1288" s="906"/>
    </row>
    <row r="1289" spans="3:3" x14ac:dyDescent="0.25">
      <c r="C1289" s="906"/>
    </row>
    <row r="1290" spans="3:3" x14ac:dyDescent="0.25">
      <c r="C1290" s="906"/>
    </row>
    <row r="1291" spans="3:3" x14ac:dyDescent="0.25">
      <c r="C1291" s="906"/>
    </row>
    <row r="1292" spans="3:3" x14ac:dyDescent="0.25">
      <c r="C1292" s="906"/>
    </row>
    <row r="1293" spans="3:3" x14ac:dyDescent="0.25">
      <c r="C1293" s="906"/>
    </row>
    <row r="1294" spans="3:3" x14ac:dyDescent="0.25">
      <c r="C1294" s="906"/>
    </row>
    <row r="1295" spans="3:3" x14ac:dyDescent="0.25">
      <c r="C1295" s="906"/>
    </row>
    <row r="1296" spans="3:3" x14ac:dyDescent="0.25">
      <c r="C1296" s="906"/>
    </row>
    <row r="1297" spans="3:3" x14ac:dyDescent="0.25">
      <c r="C1297" s="906"/>
    </row>
    <row r="1298" spans="3:3" x14ac:dyDescent="0.25">
      <c r="C1298" s="906"/>
    </row>
    <row r="1299" spans="3:3" x14ac:dyDescent="0.25">
      <c r="C1299" s="906"/>
    </row>
    <row r="1300" spans="3:3" x14ac:dyDescent="0.25">
      <c r="C1300" s="906"/>
    </row>
    <row r="1301" spans="3:3" x14ac:dyDescent="0.25">
      <c r="C1301" s="906"/>
    </row>
    <row r="1302" spans="3:3" x14ac:dyDescent="0.25">
      <c r="C1302" s="906"/>
    </row>
    <row r="1303" spans="3:3" x14ac:dyDescent="0.25">
      <c r="C1303" s="906"/>
    </row>
    <row r="1304" spans="3:3" x14ac:dyDescent="0.25">
      <c r="C1304" s="906"/>
    </row>
    <row r="1305" spans="3:3" x14ac:dyDescent="0.25">
      <c r="C1305" s="906"/>
    </row>
    <row r="1306" spans="3:3" x14ac:dyDescent="0.25">
      <c r="C1306" s="906"/>
    </row>
    <row r="1307" spans="3:3" x14ac:dyDescent="0.25">
      <c r="C1307" s="906"/>
    </row>
    <row r="1308" spans="3:3" x14ac:dyDescent="0.25">
      <c r="C1308" s="906"/>
    </row>
    <row r="1309" spans="3:3" x14ac:dyDescent="0.25">
      <c r="C1309" s="906"/>
    </row>
    <row r="1310" spans="3:3" x14ac:dyDescent="0.25">
      <c r="C1310" s="906"/>
    </row>
    <row r="1311" spans="3:3" x14ac:dyDescent="0.25">
      <c r="C1311" s="906"/>
    </row>
    <row r="1312" spans="3:3" x14ac:dyDescent="0.25">
      <c r="C1312" s="906"/>
    </row>
    <row r="1313" spans="3:3" x14ac:dyDescent="0.25">
      <c r="C1313" s="906"/>
    </row>
    <row r="1314" spans="3:3" x14ac:dyDescent="0.25">
      <c r="C1314" s="906"/>
    </row>
    <row r="1315" spans="3:3" x14ac:dyDescent="0.25">
      <c r="C1315" s="906"/>
    </row>
    <row r="1316" spans="3:3" x14ac:dyDescent="0.25">
      <c r="C1316" s="906"/>
    </row>
    <row r="1317" spans="3:3" x14ac:dyDescent="0.25">
      <c r="C1317" s="906"/>
    </row>
    <row r="1318" spans="3:3" x14ac:dyDescent="0.25">
      <c r="C1318" s="906"/>
    </row>
    <row r="1319" spans="3:3" x14ac:dyDescent="0.25">
      <c r="C1319" s="906"/>
    </row>
    <row r="1320" spans="3:3" x14ac:dyDescent="0.25">
      <c r="C1320" s="906"/>
    </row>
    <row r="1321" spans="3:3" x14ac:dyDescent="0.25">
      <c r="C1321" s="906"/>
    </row>
    <row r="1322" spans="3:3" x14ac:dyDescent="0.25">
      <c r="C1322" s="906"/>
    </row>
    <row r="1323" spans="3:3" x14ac:dyDescent="0.25">
      <c r="C1323" s="906"/>
    </row>
    <row r="1324" spans="3:3" x14ac:dyDescent="0.25">
      <c r="C1324" s="906"/>
    </row>
    <row r="1325" spans="3:3" x14ac:dyDescent="0.25">
      <c r="C1325" s="906"/>
    </row>
    <row r="1326" spans="3:3" x14ac:dyDescent="0.25">
      <c r="C1326" s="906"/>
    </row>
    <row r="1327" spans="3:3" x14ac:dyDescent="0.25">
      <c r="C1327" s="906"/>
    </row>
    <row r="1328" spans="3:3" x14ac:dyDescent="0.25">
      <c r="C1328" s="906"/>
    </row>
    <row r="1329" spans="3:3" x14ac:dyDescent="0.25">
      <c r="C1329" s="906"/>
    </row>
    <row r="1330" spans="3:3" x14ac:dyDescent="0.25">
      <c r="C1330" s="906"/>
    </row>
    <row r="1331" spans="3:3" x14ac:dyDescent="0.25">
      <c r="C1331" s="906"/>
    </row>
    <row r="1332" spans="3:3" x14ac:dyDescent="0.25">
      <c r="C1332" s="906"/>
    </row>
    <row r="1333" spans="3:3" x14ac:dyDescent="0.25">
      <c r="C1333" s="906"/>
    </row>
    <row r="1334" spans="3:3" x14ac:dyDescent="0.25">
      <c r="C1334" s="906"/>
    </row>
    <row r="1335" spans="3:3" x14ac:dyDescent="0.25">
      <c r="C1335" s="906"/>
    </row>
    <row r="1336" spans="3:3" x14ac:dyDescent="0.25">
      <c r="C1336" s="906"/>
    </row>
    <row r="1337" spans="3:3" x14ac:dyDescent="0.25">
      <c r="C1337" s="906"/>
    </row>
    <row r="1338" spans="3:3" x14ac:dyDescent="0.25">
      <c r="C1338" s="906"/>
    </row>
    <row r="1339" spans="3:3" x14ac:dyDescent="0.25">
      <c r="C1339" s="906"/>
    </row>
    <row r="1340" spans="3:3" x14ac:dyDescent="0.25">
      <c r="C1340" s="906"/>
    </row>
    <row r="1341" spans="3:3" x14ac:dyDescent="0.25">
      <c r="C1341" s="906"/>
    </row>
    <row r="1342" spans="3:3" x14ac:dyDescent="0.25">
      <c r="C1342" s="906"/>
    </row>
    <row r="1343" spans="3:3" x14ac:dyDescent="0.25">
      <c r="C1343" s="906"/>
    </row>
    <row r="1344" spans="3:3" x14ac:dyDescent="0.25">
      <c r="C1344" s="906"/>
    </row>
    <row r="1345" spans="3:3" x14ac:dyDescent="0.25">
      <c r="C1345" s="906"/>
    </row>
    <row r="1346" spans="3:3" x14ac:dyDescent="0.25">
      <c r="C1346" s="906"/>
    </row>
    <row r="1347" spans="3:3" x14ac:dyDescent="0.25">
      <c r="C1347" s="906"/>
    </row>
    <row r="1348" spans="3:3" x14ac:dyDescent="0.25">
      <c r="C1348" s="906"/>
    </row>
    <row r="1349" spans="3:3" x14ac:dyDescent="0.25">
      <c r="C1349" s="906"/>
    </row>
    <row r="1350" spans="3:3" x14ac:dyDescent="0.25">
      <c r="C1350" s="906"/>
    </row>
    <row r="1351" spans="3:3" x14ac:dyDescent="0.25">
      <c r="C1351" s="906"/>
    </row>
    <row r="1352" spans="3:3" x14ac:dyDescent="0.25">
      <c r="C1352" s="906"/>
    </row>
    <row r="1353" spans="3:3" x14ac:dyDescent="0.25">
      <c r="C1353" s="906"/>
    </row>
    <row r="1354" spans="3:3" x14ac:dyDescent="0.25">
      <c r="C1354" s="906"/>
    </row>
    <row r="1355" spans="3:3" x14ac:dyDescent="0.25">
      <c r="C1355" s="906"/>
    </row>
    <row r="1356" spans="3:3" x14ac:dyDescent="0.25">
      <c r="C1356" s="906"/>
    </row>
    <row r="1357" spans="3:3" x14ac:dyDescent="0.25">
      <c r="C1357" s="906"/>
    </row>
    <row r="1358" spans="3:3" x14ac:dyDescent="0.25">
      <c r="C1358" s="906"/>
    </row>
    <row r="1359" spans="3:3" x14ac:dyDescent="0.25">
      <c r="C1359" s="906"/>
    </row>
    <row r="1360" spans="3:3" x14ac:dyDescent="0.25">
      <c r="C1360" s="906"/>
    </row>
    <row r="1361" spans="3:3" x14ac:dyDescent="0.25">
      <c r="C1361" s="906"/>
    </row>
    <row r="1362" spans="3:3" x14ac:dyDescent="0.25">
      <c r="C1362" s="906"/>
    </row>
    <row r="1363" spans="3:3" x14ac:dyDescent="0.25">
      <c r="C1363" s="906"/>
    </row>
    <row r="1364" spans="3:3" x14ac:dyDescent="0.25">
      <c r="C1364" s="906"/>
    </row>
    <row r="1365" spans="3:3" x14ac:dyDescent="0.25">
      <c r="C1365" s="906"/>
    </row>
    <row r="1366" spans="3:3" x14ac:dyDescent="0.25">
      <c r="C1366" s="906"/>
    </row>
    <row r="1367" spans="3:3" x14ac:dyDescent="0.25">
      <c r="C1367" s="906"/>
    </row>
    <row r="1368" spans="3:3" x14ac:dyDescent="0.25">
      <c r="C1368" s="906"/>
    </row>
    <row r="1369" spans="3:3" x14ac:dyDescent="0.25">
      <c r="C1369" s="906"/>
    </row>
    <row r="1370" spans="3:3" x14ac:dyDescent="0.25">
      <c r="C1370" s="906"/>
    </row>
    <row r="1371" spans="3:3" x14ac:dyDescent="0.25">
      <c r="C1371" s="906"/>
    </row>
    <row r="1372" spans="3:3" x14ac:dyDescent="0.25">
      <c r="C1372" s="906"/>
    </row>
    <row r="1373" spans="3:3" x14ac:dyDescent="0.25">
      <c r="C1373" s="906"/>
    </row>
    <row r="1374" spans="3:3" x14ac:dyDescent="0.25">
      <c r="C1374" s="906"/>
    </row>
    <row r="1375" spans="3:3" x14ac:dyDescent="0.25">
      <c r="C1375" s="906"/>
    </row>
    <row r="1376" spans="3:3" x14ac:dyDescent="0.25">
      <c r="C1376" s="906"/>
    </row>
    <row r="1377" spans="3:3" x14ac:dyDescent="0.25">
      <c r="C1377" s="906"/>
    </row>
    <row r="1378" spans="3:3" x14ac:dyDescent="0.25">
      <c r="C1378" s="906"/>
    </row>
    <row r="1379" spans="3:3" x14ac:dyDescent="0.25">
      <c r="C1379" s="906"/>
    </row>
    <row r="1380" spans="3:3" x14ac:dyDescent="0.25">
      <c r="C1380" s="906"/>
    </row>
    <row r="1381" spans="3:3" x14ac:dyDescent="0.25">
      <c r="C1381" s="906"/>
    </row>
    <row r="1382" spans="3:3" x14ac:dyDescent="0.25">
      <c r="C1382" s="906"/>
    </row>
    <row r="1383" spans="3:3" x14ac:dyDescent="0.25">
      <c r="C1383" s="906"/>
    </row>
    <row r="1384" spans="3:3" x14ac:dyDescent="0.25">
      <c r="C1384" s="906"/>
    </row>
    <row r="1385" spans="3:3" x14ac:dyDescent="0.25">
      <c r="C1385" s="906"/>
    </row>
    <row r="1386" spans="3:3" x14ac:dyDescent="0.25">
      <c r="C1386" s="906"/>
    </row>
    <row r="1387" spans="3:3" x14ac:dyDescent="0.25">
      <c r="C1387" s="906"/>
    </row>
    <row r="1388" spans="3:3" x14ac:dyDescent="0.25">
      <c r="C1388" s="906"/>
    </row>
    <row r="1389" spans="3:3" x14ac:dyDescent="0.25">
      <c r="C1389" s="906"/>
    </row>
    <row r="1390" spans="3:3" x14ac:dyDescent="0.25">
      <c r="C1390" s="906"/>
    </row>
    <row r="1391" spans="3:3" x14ac:dyDescent="0.25">
      <c r="C1391" s="906"/>
    </row>
    <row r="1392" spans="3:3" x14ac:dyDescent="0.25">
      <c r="C1392" s="906"/>
    </row>
    <row r="1393" spans="3:3" x14ac:dyDescent="0.25">
      <c r="C1393" s="906"/>
    </row>
    <row r="1394" spans="3:3" x14ac:dyDescent="0.25">
      <c r="C1394" s="906"/>
    </row>
    <row r="1395" spans="3:3" x14ac:dyDescent="0.25">
      <c r="C1395" s="906"/>
    </row>
    <row r="1396" spans="3:3" x14ac:dyDescent="0.25">
      <c r="C1396" s="906"/>
    </row>
    <row r="1397" spans="3:3" x14ac:dyDescent="0.25">
      <c r="C1397" s="906"/>
    </row>
    <row r="1398" spans="3:3" x14ac:dyDescent="0.25">
      <c r="C1398" s="906"/>
    </row>
    <row r="1399" spans="3:3" x14ac:dyDescent="0.25">
      <c r="C1399" s="906"/>
    </row>
    <row r="1400" spans="3:3" x14ac:dyDescent="0.25">
      <c r="C1400" s="906"/>
    </row>
    <row r="1401" spans="3:3" x14ac:dyDescent="0.25">
      <c r="C1401" s="906"/>
    </row>
    <row r="1402" spans="3:3" x14ac:dyDescent="0.25">
      <c r="C1402" s="906"/>
    </row>
    <row r="1403" spans="3:3" x14ac:dyDescent="0.25">
      <c r="C1403" s="906"/>
    </row>
    <row r="1404" spans="3:3" x14ac:dyDescent="0.25">
      <c r="C1404" s="906"/>
    </row>
    <row r="1405" spans="3:3" x14ac:dyDescent="0.25">
      <c r="C1405" s="906"/>
    </row>
    <row r="1406" spans="3:3" x14ac:dyDescent="0.25">
      <c r="C1406" s="906"/>
    </row>
    <row r="1407" spans="3:3" x14ac:dyDescent="0.25">
      <c r="C1407" s="906"/>
    </row>
    <row r="1408" spans="3:3" x14ac:dyDescent="0.25">
      <c r="C1408" s="906"/>
    </row>
    <row r="1409" spans="3:3" x14ac:dyDescent="0.25">
      <c r="C1409" s="906"/>
    </row>
    <row r="1410" spans="3:3" x14ac:dyDescent="0.25">
      <c r="C1410" s="906"/>
    </row>
    <row r="1411" spans="3:3" x14ac:dyDescent="0.25">
      <c r="C1411" s="906"/>
    </row>
    <row r="1412" spans="3:3" x14ac:dyDescent="0.25">
      <c r="C1412" s="906"/>
    </row>
    <row r="1413" spans="3:3" x14ac:dyDescent="0.25">
      <c r="C1413" s="906"/>
    </row>
    <row r="1414" spans="3:3" x14ac:dyDescent="0.25">
      <c r="C1414" s="906"/>
    </row>
    <row r="1415" spans="3:3" x14ac:dyDescent="0.25">
      <c r="C1415" s="906"/>
    </row>
    <row r="1416" spans="3:3" x14ac:dyDescent="0.25">
      <c r="C1416" s="906"/>
    </row>
    <row r="1417" spans="3:3" x14ac:dyDescent="0.25">
      <c r="C1417" s="906"/>
    </row>
    <row r="1418" spans="3:3" x14ac:dyDescent="0.25">
      <c r="C1418" s="906"/>
    </row>
    <row r="1419" spans="3:3" x14ac:dyDescent="0.25">
      <c r="C1419" s="906"/>
    </row>
    <row r="1420" spans="3:3" x14ac:dyDescent="0.25">
      <c r="C1420" s="906"/>
    </row>
    <row r="1421" spans="3:3" x14ac:dyDescent="0.25">
      <c r="C1421" s="906"/>
    </row>
    <row r="1422" spans="3:3" x14ac:dyDescent="0.25">
      <c r="C1422" s="906"/>
    </row>
    <row r="1423" spans="3:3" x14ac:dyDescent="0.25">
      <c r="C1423" s="906"/>
    </row>
    <row r="1424" spans="3:3" x14ac:dyDescent="0.25">
      <c r="C1424" s="906"/>
    </row>
    <row r="1425" spans="3:3" x14ac:dyDescent="0.25">
      <c r="C1425" s="906"/>
    </row>
    <row r="1426" spans="3:3" x14ac:dyDescent="0.25">
      <c r="C1426" s="906"/>
    </row>
    <row r="1427" spans="3:3" x14ac:dyDescent="0.25">
      <c r="C1427" s="906"/>
    </row>
    <row r="1428" spans="3:3" x14ac:dyDescent="0.25">
      <c r="C1428" s="906"/>
    </row>
    <row r="1429" spans="3:3" x14ac:dyDescent="0.25">
      <c r="C1429" s="906"/>
    </row>
    <row r="1430" spans="3:3" x14ac:dyDescent="0.25">
      <c r="C1430" s="906"/>
    </row>
    <row r="1431" spans="3:3" x14ac:dyDescent="0.25">
      <c r="C1431" s="906"/>
    </row>
    <row r="1432" spans="3:3" x14ac:dyDescent="0.25">
      <c r="C1432" s="906"/>
    </row>
    <row r="1433" spans="3:3" x14ac:dyDescent="0.25">
      <c r="C1433" s="906"/>
    </row>
    <row r="1434" spans="3:3" x14ac:dyDescent="0.25">
      <c r="C1434" s="906"/>
    </row>
    <row r="1435" spans="3:3" x14ac:dyDescent="0.25">
      <c r="C1435" s="906"/>
    </row>
    <row r="1436" spans="3:3" x14ac:dyDescent="0.25">
      <c r="C1436" s="906"/>
    </row>
    <row r="1437" spans="3:3" x14ac:dyDescent="0.25">
      <c r="C1437" s="906"/>
    </row>
    <row r="1438" spans="3:3" x14ac:dyDescent="0.25">
      <c r="C1438" s="906"/>
    </row>
    <row r="1439" spans="3:3" x14ac:dyDescent="0.25">
      <c r="C1439" s="906"/>
    </row>
    <row r="1440" spans="3:3" x14ac:dyDescent="0.25">
      <c r="C1440" s="906"/>
    </row>
    <row r="1441" spans="3:3" x14ac:dyDescent="0.25">
      <c r="C1441" s="906"/>
    </row>
    <row r="1442" spans="3:3" x14ac:dyDescent="0.25">
      <c r="C1442" s="906"/>
    </row>
    <row r="1443" spans="3:3" x14ac:dyDescent="0.25">
      <c r="C1443" s="906"/>
    </row>
    <row r="1444" spans="3:3" x14ac:dyDescent="0.25">
      <c r="C1444" s="906"/>
    </row>
    <row r="1445" spans="3:3" x14ac:dyDescent="0.25">
      <c r="C1445" s="906"/>
    </row>
    <row r="1446" spans="3:3" x14ac:dyDescent="0.25">
      <c r="C1446" s="906"/>
    </row>
    <row r="1447" spans="3:3" x14ac:dyDescent="0.25">
      <c r="C1447" s="906"/>
    </row>
    <row r="1448" spans="3:3" x14ac:dyDescent="0.25">
      <c r="C1448" s="906"/>
    </row>
    <row r="1449" spans="3:3" x14ac:dyDescent="0.25">
      <c r="C1449" s="906"/>
    </row>
    <row r="1450" spans="3:3" x14ac:dyDescent="0.25">
      <c r="C1450" s="906"/>
    </row>
    <row r="1451" spans="3:3" x14ac:dyDescent="0.25">
      <c r="C1451" s="906"/>
    </row>
    <row r="1452" spans="3:3" x14ac:dyDescent="0.25">
      <c r="C1452" s="906"/>
    </row>
    <row r="1453" spans="3:3" x14ac:dyDescent="0.25">
      <c r="C1453" s="906"/>
    </row>
    <row r="1454" spans="3:3" x14ac:dyDescent="0.25">
      <c r="C1454" s="906"/>
    </row>
    <row r="1455" spans="3:3" x14ac:dyDescent="0.25">
      <c r="C1455" s="906"/>
    </row>
    <row r="1456" spans="3:3" x14ac:dyDescent="0.25">
      <c r="C1456" s="906"/>
    </row>
    <row r="1457" spans="3:3" x14ac:dyDescent="0.25">
      <c r="C1457" s="906"/>
    </row>
    <row r="1458" spans="3:3" x14ac:dyDescent="0.25">
      <c r="C1458" s="906"/>
    </row>
    <row r="1459" spans="3:3" x14ac:dyDescent="0.25">
      <c r="C1459" s="906"/>
    </row>
    <row r="1460" spans="3:3" x14ac:dyDescent="0.25">
      <c r="C1460" s="906"/>
    </row>
    <row r="1461" spans="3:3" x14ac:dyDescent="0.25">
      <c r="C1461" s="906"/>
    </row>
    <row r="1462" spans="3:3" x14ac:dyDescent="0.25">
      <c r="C1462" s="906"/>
    </row>
    <row r="1463" spans="3:3" x14ac:dyDescent="0.25">
      <c r="C1463" s="906"/>
    </row>
    <row r="1464" spans="3:3" x14ac:dyDescent="0.25">
      <c r="C1464" s="906"/>
    </row>
    <row r="1465" spans="3:3" x14ac:dyDescent="0.25">
      <c r="C1465" s="906"/>
    </row>
    <row r="1466" spans="3:3" x14ac:dyDescent="0.25">
      <c r="C1466" s="906"/>
    </row>
    <row r="1467" spans="3:3" x14ac:dyDescent="0.25">
      <c r="C1467" s="906"/>
    </row>
    <row r="1468" spans="3:3" x14ac:dyDescent="0.25">
      <c r="C1468" s="906"/>
    </row>
    <row r="1469" spans="3:3" x14ac:dyDescent="0.25">
      <c r="C1469" s="906"/>
    </row>
    <row r="1470" spans="3:3" x14ac:dyDescent="0.25">
      <c r="C1470" s="906"/>
    </row>
    <row r="1471" spans="3:3" x14ac:dyDescent="0.25">
      <c r="C1471" s="906"/>
    </row>
    <row r="1472" spans="3:3" x14ac:dyDescent="0.25">
      <c r="C1472" s="906"/>
    </row>
    <row r="1473" spans="3:3" x14ac:dyDescent="0.25">
      <c r="C1473" s="906"/>
    </row>
    <row r="1474" spans="3:3" x14ac:dyDescent="0.25">
      <c r="C1474" s="906"/>
    </row>
    <row r="1475" spans="3:3" x14ac:dyDescent="0.25">
      <c r="C1475" s="906"/>
    </row>
    <row r="1476" spans="3:3" x14ac:dyDescent="0.25">
      <c r="C1476" s="906"/>
    </row>
    <row r="1477" spans="3:3" x14ac:dyDescent="0.25">
      <c r="C1477" s="906"/>
    </row>
    <row r="1478" spans="3:3" x14ac:dyDescent="0.25">
      <c r="C1478" s="906"/>
    </row>
    <row r="1479" spans="3:3" x14ac:dyDescent="0.25">
      <c r="C1479" s="906"/>
    </row>
    <row r="1480" spans="3:3" x14ac:dyDescent="0.25">
      <c r="C1480" s="906"/>
    </row>
    <row r="1481" spans="3:3" x14ac:dyDescent="0.25">
      <c r="C1481" s="906"/>
    </row>
    <row r="1482" spans="3:3" x14ac:dyDescent="0.25">
      <c r="C1482" s="906"/>
    </row>
    <row r="1483" spans="3:3" x14ac:dyDescent="0.25">
      <c r="C1483" s="906"/>
    </row>
    <row r="1484" spans="3:3" x14ac:dyDescent="0.25">
      <c r="C1484" s="906"/>
    </row>
    <row r="1485" spans="3:3" x14ac:dyDescent="0.25">
      <c r="C1485" s="906"/>
    </row>
    <row r="1486" spans="3:3" x14ac:dyDescent="0.25">
      <c r="C1486" s="906"/>
    </row>
    <row r="1487" spans="3:3" x14ac:dyDescent="0.25">
      <c r="C1487" s="906"/>
    </row>
    <row r="1488" spans="3:3" x14ac:dyDescent="0.25">
      <c r="C1488" s="906"/>
    </row>
    <row r="1489" spans="3:3" x14ac:dyDescent="0.25">
      <c r="C1489" s="906"/>
    </row>
    <row r="1490" spans="3:3" x14ac:dyDescent="0.25">
      <c r="C1490" s="906"/>
    </row>
    <row r="1491" spans="3:3" x14ac:dyDescent="0.25">
      <c r="C1491" s="906"/>
    </row>
    <row r="1492" spans="3:3" x14ac:dyDescent="0.25">
      <c r="C1492" s="906"/>
    </row>
    <row r="1493" spans="3:3" x14ac:dyDescent="0.25">
      <c r="C1493" s="906"/>
    </row>
    <row r="1494" spans="3:3" x14ac:dyDescent="0.25">
      <c r="C1494" s="906"/>
    </row>
    <row r="1495" spans="3:3" x14ac:dyDescent="0.25">
      <c r="C1495" s="906"/>
    </row>
    <row r="1496" spans="3:3" x14ac:dyDescent="0.25">
      <c r="C1496" s="906"/>
    </row>
    <row r="1497" spans="3:3" x14ac:dyDescent="0.25">
      <c r="C1497" s="906"/>
    </row>
    <row r="1498" spans="3:3" x14ac:dyDescent="0.25">
      <c r="C1498" s="906"/>
    </row>
    <row r="1499" spans="3:3" x14ac:dyDescent="0.25">
      <c r="C1499" s="906"/>
    </row>
    <row r="1500" spans="3:3" x14ac:dyDescent="0.25">
      <c r="C1500" s="906"/>
    </row>
    <row r="1501" spans="3:3" x14ac:dyDescent="0.25">
      <c r="C1501" s="906"/>
    </row>
    <row r="1502" spans="3:3" x14ac:dyDescent="0.25">
      <c r="C1502" s="906"/>
    </row>
    <row r="1503" spans="3:3" x14ac:dyDescent="0.25">
      <c r="C1503" s="906"/>
    </row>
    <row r="1504" spans="3:3" x14ac:dyDescent="0.25">
      <c r="C1504" s="906"/>
    </row>
    <row r="1505" spans="3:3" x14ac:dyDescent="0.25">
      <c r="C1505" s="906"/>
    </row>
    <row r="1506" spans="3:3" x14ac:dyDescent="0.25">
      <c r="C1506" s="906"/>
    </row>
    <row r="1507" spans="3:3" x14ac:dyDescent="0.25">
      <c r="C1507" s="906"/>
    </row>
    <row r="1508" spans="3:3" x14ac:dyDescent="0.25">
      <c r="C1508" s="906"/>
    </row>
    <row r="1509" spans="3:3" x14ac:dyDescent="0.25">
      <c r="C1509" s="906"/>
    </row>
    <row r="1510" spans="3:3" x14ac:dyDescent="0.25">
      <c r="C1510" s="906"/>
    </row>
    <row r="1511" spans="3:3" x14ac:dyDescent="0.25">
      <c r="C1511" s="906"/>
    </row>
    <row r="1512" spans="3:3" x14ac:dyDescent="0.25">
      <c r="C1512" s="906"/>
    </row>
    <row r="1513" spans="3:3" x14ac:dyDescent="0.25">
      <c r="C1513" s="906"/>
    </row>
    <row r="1514" spans="3:3" x14ac:dyDescent="0.25">
      <c r="C1514" s="906"/>
    </row>
    <row r="1515" spans="3:3" x14ac:dyDescent="0.25">
      <c r="C1515" s="906"/>
    </row>
    <row r="1516" spans="3:3" x14ac:dyDescent="0.25">
      <c r="C1516" s="906"/>
    </row>
    <row r="1517" spans="3:3" x14ac:dyDescent="0.25">
      <c r="C1517" s="906"/>
    </row>
    <row r="1518" spans="3:3" x14ac:dyDescent="0.25">
      <c r="C1518" s="906"/>
    </row>
    <row r="1519" spans="3:3" x14ac:dyDescent="0.25">
      <c r="C1519" s="906"/>
    </row>
    <row r="1520" spans="3:3" x14ac:dyDescent="0.25">
      <c r="C1520" s="906"/>
    </row>
    <row r="1521" spans="3:3" x14ac:dyDescent="0.25">
      <c r="C1521" s="906"/>
    </row>
    <row r="1522" spans="3:3" x14ac:dyDescent="0.25">
      <c r="C1522" s="906"/>
    </row>
    <row r="1523" spans="3:3" x14ac:dyDescent="0.25">
      <c r="C1523" s="906"/>
    </row>
    <row r="1524" spans="3:3" x14ac:dyDescent="0.25">
      <c r="C1524" s="906"/>
    </row>
    <row r="1525" spans="3:3" x14ac:dyDescent="0.25">
      <c r="C1525" s="906"/>
    </row>
    <row r="1526" spans="3:3" x14ac:dyDescent="0.25">
      <c r="C1526" s="906"/>
    </row>
    <row r="1527" spans="3:3" x14ac:dyDescent="0.25">
      <c r="C1527" s="906"/>
    </row>
    <row r="1528" spans="3:3" x14ac:dyDescent="0.25">
      <c r="C1528" s="906"/>
    </row>
    <row r="1529" spans="3:3" x14ac:dyDescent="0.25">
      <c r="C1529" s="906"/>
    </row>
    <row r="1530" spans="3:3" x14ac:dyDescent="0.25">
      <c r="C1530" s="906"/>
    </row>
    <row r="1531" spans="3:3" x14ac:dyDescent="0.25">
      <c r="C1531" s="906"/>
    </row>
    <row r="1532" spans="3:3" x14ac:dyDescent="0.25">
      <c r="C1532" s="906"/>
    </row>
    <row r="1533" spans="3:3" x14ac:dyDescent="0.25">
      <c r="C1533" s="906"/>
    </row>
    <row r="1534" spans="3:3" x14ac:dyDescent="0.25">
      <c r="C1534" s="906"/>
    </row>
    <row r="1535" spans="3:3" x14ac:dyDescent="0.25">
      <c r="C1535" s="906"/>
    </row>
    <row r="1536" spans="3:3" x14ac:dyDescent="0.25">
      <c r="C1536" s="906"/>
    </row>
    <row r="1537" spans="3:3" x14ac:dyDescent="0.25">
      <c r="C1537" s="906"/>
    </row>
    <row r="1538" spans="3:3" x14ac:dyDescent="0.25">
      <c r="C1538" s="906"/>
    </row>
    <row r="1539" spans="3:3" x14ac:dyDescent="0.25">
      <c r="C1539" s="906"/>
    </row>
    <row r="1540" spans="3:3" x14ac:dyDescent="0.25">
      <c r="C1540" s="906"/>
    </row>
    <row r="1541" spans="3:3" x14ac:dyDescent="0.25">
      <c r="C1541" s="906"/>
    </row>
    <row r="1542" spans="3:3" x14ac:dyDescent="0.25">
      <c r="C1542" s="906"/>
    </row>
    <row r="1543" spans="3:3" x14ac:dyDescent="0.25">
      <c r="C1543" s="906"/>
    </row>
    <row r="1544" spans="3:3" x14ac:dyDescent="0.25">
      <c r="C1544" s="906"/>
    </row>
    <row r="1545" spans="3:3" x14ac:dyDescent="0.25">
      <c r="C1545" s="906"/>
    </row>
    <row r="1546" spans="3:3" x14ac:dyDescent="0.25">
      <c r="C1546" s="906"/>
    </row>
    <row r="1547" spans="3:3" x14ac:dyDescent="0.25">
      <c r="C1547" s="906"/>
    </row>
    <row r="1548" spans="3:3" x14ac:dyDescent="0.25">
      <c r="C1548" s="906"/>
    </row>
    <row r="1549" spans="3:3" x14ac:dyDescent="0.25">
      <c r="C1549" s="906"/>
    </row>
    <row r="1550" spans="3:3" x14ac:dyDescent="0.25">
      <c r="C1550" s="906"/>
    </row>
    <row r="1551" spans="3:3" x14ac:dyDescent="0.25">
      <c r="C1551" s="906"/>
    </row>
    <row r="1552" spans="3:3" x14ac:dyDescent="0.25">
      <c r="C1552" s="906"/>
    </row>
    <row r="1553" spans="3:3" x14ac:dyDescent="0.25">
      <c r="C1553" s="906"/>
    </row>
    <row r="1554" spans="3:3" x14ac:dyDescent="0.25">
      <c r="C1554" s="906"/>
    </row>
    <row r="1555" spans="3:3" x14ac:dyDescent="0.25">
      <c r="C1555" s="906"/>
    </row>
    <row r="1556" spans="3:3" x14ac:dyDescent="0.25">
      <c r="C1556" s="906"/>
    </row>
    <row r="1557" spans="3:3" x14ac:dyDescent="0.25">
      <c r="C1557" s="906"/>
    </row>
    <row r="1558" spans="3:3" x14ac:dyDescent="0.25">
      <c r="C1558" s="906"/>
    </row>
    <row r="1559" spans="3:3" x14ac:dyDescent="0.25">
      <c r="C1559" s="906"/>
    </row>
    <row r="1560" spans="3:3" x14ac:dyDescent="0.25">
      <c r="C1560" s="906"/>
    </row>
    <row r="1561" spans="3:3" x14ac:dyDescent="0.25">
      <c r="C1561" s="906"/>
    </row>
    <row r="1562" spans="3:3" x14ac:dyDescent="0.25">
      <c r="C1562" s="906"/>
    </row>
    <row r="1563" spans="3:3" x14ac:dyDescent="0.25">
      <c r="C1563" s="906"/>
    </row>
    <row r="1564" spans="3:3" x14ac:dyDescent="0.25">
      <c r="C1564" s="906"/>
    </row>
    <row r="1565" spans="3:3" x14ac:dyDescent="0.25">
      <c r="C1565" s="906"/>
    </row>
    <row r="1566" spans="3:3" x14ac:dyDescent="0.25">
      <c r="C1566" s="906"/>
    </row>
    <row r="1567" spans="3:3" x14ac:dyDescent="0.25">
      <c r="C1567" s="906"/>
    </row>
    <row r="1568" spans="3:3" x14ac:dyDescent="0.25">
      <c r="C1568" s="906"/>
    </row>
    <row r="1569" spans="3:3" x14ac:dyDescent="0.25">
      <c r="C1569" s="906"/>
    </row>
    <row r="1570" spans="3:3" x14ac:dyDescent="0.25">
      <c r="C1570" s="906"/>
    </row>
    <row r="1571" spans="3:3" x14ac:dyDescent="0.25">
      <c r="C1571" s="906"/>
    </row>
    <row r="1572" spans="3:3" x14ac:dyDescent="0.25">
      <c r="C1572" s="906"/>
    </row>
    <row r="1573" spans="3:3" x14ac:dyDescent="0.25">
      <c r="C1573" s="906"/>
    </row>
    <row r="1574" spans="3:3" x14ac:dyDescent="0.25">
      <c r="C1574" s="906"/>
    </row>
    <row r="1575" spans="3:3" x14ac:dyDescent="0.25">
      <c r="C1575" s="906"/>
    </row>
    <row r="1576" spans="3:3" x14ac:dyDescent="0.25">
      <c r="C1576" s="906"/>
    </row>
    <row r="1577" spans="3:3" x14ac:dyDescent="0.25">
      <c r="C1577" s="906"/>
    </row>
    <row r="1578" spans="3:3" x14ac:dyDescent="0.25">
      <c r="C1578" s="906"/>
    </row>
    <row r="1579" spans="3:3" x14ac:dyDescent="0.25">
      <c r="C1579" s="906"/>
    </row>
    <row r="1580" spans="3:3" x14ac:dyDescent="0.25">
      <c r="C1580" s="906"/>
    </row>
    <row r="1581" spans="3:3" x14ac:dyDescent="0.25">
      <c r="C1581" s="906"/>
    </row>
    <row r="1582" spans="3:3" x14ac:dyDescent="0.25">
      <c r="C1582" s="906"/>
    </row>
    <row r="1583" spans="3:3" x14ac:dyDescent="0.25">
      <c r="C1583" s="906"/>
    </row>
    <row r="1584" spans="3:3" x14ac:dyDescent="0.25">
      <c r="C1584" s="906"/>
    </row>
    <row r="1585" spans="3:3" x14ac:dyDescent="0.25">
      <c r="C1585" s="906"/>
    </row>
    <row r="1586" spans="3:3" x14ac:dyDescent="0.25">
      <c r="C1586" s="906"/>
    </row>
    <row r="1587" spans="3:3" x14ac:dyDescent="0.25">
      <c r="C1587" s="906"/>
    </row>
    <row r="1588" spans="3:3" x14ac:dyDescent="0.25">
      <c r="C1588" s="906"/>
    </row>
    <row r="1589" spans="3:3" x14ac:dyDescent="0.25">
      <c r="C1589" s="906"/>
    </row>
    <row r="1590" spans="3:3" x14ac:dyDescent="0.25">
      <c r="C1590" s="906"/>
    </row>
    <row r="1591" spans="3:3" x14ac:dyDescent="0.25">
      <c r="C1591" s="906"/>
    </row>
    <row r="1592" spans="3:3" x14ac:dyDescent="0.25">
      <c r="C1592" s="906"/>
    </row>
    <row r="1593" spans="3:3" x14ac:dyDescent="0.25">
      <c r="C1593" s="906"/>
    </row>
    <row r="1594" spans="3:3" x14ac:dyDescent="0.25">
      <c r="C1594" s="906"/>
    </row>
    <row r="1595" spans="3:3" x14ac:dyDescent="0.25">
      <c r="C1595" s="906"/>
    </row>
    <row r="1596" spans="3:3" x14ac:dyDescent="0.25">
      <c r="C1596" s="906"/>
    </row>
    <row r="1597" spans="3:3" x14ac:dyDescent="0.25">
      <c r="C1597" s="906"/>
    </row>
    <row r="1598" spans="3:3" x14ac:dyDescent="0.25">
      <c r="C1598" s="906"/>
    </row>
    <row r="1599" spans="3:3" x14ac:dyDescent="0.25">
      <c r="C1599" s="906"/>
    </row>
    <row r="1600" spans="3:3" x14ac:dyDescent="0.25">
      <c r="C1600" s="906"/>
    </row>
    <row r="1601" spans="3:3" x14ac:dyDescent="0.25">
      <c r="C1601" s="906"/>
    </row>
    <row r="1602" spans="3:3" x14ac:dyDescent="0.25">
      <c r="C1602" s="906"/>
    </row>
    <row r="1603" spans="3:3" x14ac:dyDescent="0.25">
      <c r="C1603" s="906"/>
    </row>
    <row r="1604" spans="3:3" x14ac:dyDescent="0.25">
      <c r="C1604" s="906"/>
    </row>
    <row r="1605" spans="3:3" x14ac:dyDescent="0.25">
      <c r="C1605" s="906"/>
    </row>
    <row r="1606" spans="3:3" x14ac:dyDescent="0.25">
      <c r="C1606" s="906"/>
    </row>
    <row r="1607" spans="3:3" x14ac:dyDescent="0.25">
      <c r="C1607" s="906"/>
    </row>
    <row r="1608" spans="3:3" x14ac:dyDescent="0.25">
      <c r="C1608" s="906"/>
    </row>
    <row r="1609" spans="3:3" x14ac:dyDescent="0.25">
      <c r="C1609" s="906"/>
    </row>
    <row r="1610" spans="3:3" x14ac:dyDescent="0.25">
      <c r="C1610" s="906"/>
    </row>
    <row r="1611" spans="3:3" x14ac:dyDescent="0.25">
      <c r="C1611" s="906"/>
    </row>
    <row r="1612" spans="3:3" x14ac:dyDescent="0.25">
      <c r="C1612" s="906"/>
    </row>
    <row r="1613" spans="3:3" x14ac:dyDescent="0.25">
      <c r="C1613" s="906"/>
    </row>
    <row r="1614" spans="3:3" x14ac:dyDescent="0.25">
      <c r="C1614" s="906"/>
    </row>
    <row r="1615" spans="3:3" x14ac:dyDescent="0.25">
      <c r="C1615" s="906"/>
    </row>
    <row r="1616" spans="3:3" x14ac:dyDescent="0.25">
      <c r="C1616" s="906"/>
    </row>
    <row r="1617" spans="3:3" x14ac:dyDescent="0.25">
      <c r="C1617" s="906"/>
    </row>
    <row r="1618" spans="3:3" x14ac:dyDescent="0.25">
      <c r="C1618" s="906"/>
    </row>
    <row r="1619" spans="3:3" x14ac:dyDescent="0.25">
      <c r="C1619" s="906"/>
    </row>
    <row r="1620" spans="3:3" x14ac:dyDescent="0.25">
      <c r="C1620" s="906"/>
    </row>
    <row r="1621" spans="3:3" x14ac:dyDescent="0.25">
      <c r="C1621" s="906"/>
    </row>
    <row r="1622" spans="3:3" x14ac:dyDescent="0.25">
      <c r="C1622" s="906"/>
    </row>
    <row r="1623" spans="3:3" x14ac:dyDescent="0.25">
      <c r="C1623" s="906"/>
    </row>
    <row r="1624" spans="3:3" x14ac:dyDescent="0.25">
      <c r="C1624" s="906"/>
    </row>
    <row r="1625" spans="3:3" x14ac:dyDescent="0.25">
      <c r="C1625" s="906"/>
    </row>
    <row r="1626" spans="3:3" x14ac:dyDescent="0.25">
      <c r="C1626" s="906"/>
    </row>
    <row r="1627" spans="3:3" x14ac:dyDescent="0.25">
      <c r="C1627" s="906"/>
    </row>
    <row r="1628" spans="3:3" x14ac:dyDescent="0.25">
      <c r="C1628" s="906"/>
    </row>
    <row r="1629" spans="3:3" x14ac:dyDescent="0.25">
      <c r="C1629" s="906"/>
    </row>
    <row r="1630" spans="3:3" x14ac:dyDescent="0.25">
      <c r="C1630" s="906"/>
    </row>
    <row r="1631" spans="3:3" x14ac:dyDescent="0.25">
      <c r="C1631" s="906"/>
    </row>
    <row r="1632" spans="3:3" x14ac:dyDescent="0.25">
      <c r="C1632" s="906"/>
    </row>
    <row r="1633" spans="3:3" x14ac:dyDescent="0.25">
      <c r="C1633" s="906"/>
    </row>
    <row r="1634" spans="3:3" x14ac:dyDescent="0.25">
      <c r="C1634" s="906"/>
    </row>
    <row r="1635" spans="3:3" x14ac:dyDescent="0.25">
      <c r="C1635" s="906"/>
    </row>
    <row r="1636" spans="3:3" x14ac:dyDescent="0.25">
      <c r="C1636" s="906"/>
    </row>
    <row r="1637" spans="3:3" x14ac:dyDescent="0.25">
      <c r="C1637" s="906"/>
    </row>
    <row r="1638" spans="3:3" x14ac:dyDescent="0.25">
      <c r="C1638" s="906"/>
    </row>
    <row r="1639" spans="3:3" x14ac:dyDescent="0.25">
      <c r="C1639" s="906"/>
    </row>
    <row r="1640" spans="3:3" x14ac:dyDescent="0.25">
      <c r="C1640" s="906"/>
    </row>
    <row r="1641" spans="3:3" x14ac:dyDescent="0.25">
      <c r="C1641" s="906"/>
    </row>
    <row r="1642" spans="3:3" x14ac:dyDescent="0.25">
      <c r="C1642" s="906"/>
    </row>
    <row r="1643" spans="3:3" x14ac:dyDescent="0.25">
      <c r="C1643" s="906"/>
    </row>
    <row r="1644" spans="3:3" x14ac:dyDescent="0.25">
      <c r="C1644" s="906"/>
    </row>
    <row r="1645" spans="3:3" x14ac:dyDescent="0.25">
      <c r="C1645" s="906"/>
    </row>
    <row r="1646" spans="3:3" x14ac:dyDescent="0.25">
      <c r="C1646" s="906"/>
    </row>
    <row r="1647" spans="3:3" x14ac:dyDescent="0.25">
      <c r="C1647" s="906"/>
    </row>
    <row r="1648" spans="3:3" x14ac:dyDescent="0.25">
      <c r="C1648" s="906"/>
    </row>
    <row r="1649" spans="3:3" x14ac:dyDescent="0.25">
      <c r="C1649" s="906"/>
    </row>
    <row r="1650" spans="3:3" x14ac:dyDescent="0.25">
      <c r="C1650" s="906"/>
    </row>
    <row r="1651" spans="3:3" x14ac:dyDescent="0.25">
      <c r="C1651" s="906"/>
    </row>
    <row r="1652" spans="3:3" x14ac:dyDescent="0.25">
      <c r="C1652" s="906"/>
    </row>
    <row r="1653" spans="3:3" x14ac:dyDescent="0.25">
      <c r="C1653" s="906"/>
    </row>
    <row r="1654" spans="3:3" x14ac:dyDescent="0.25">
      <c r="C1654" s="906"/>
    </row>
    <row r="1655" spans="3:3" x14ac:dyDescent="0.25">
      <c r="C1655" s="906"/>
    </row>
    <row r="1656" spans="3:3" x14ac:dyDescent="0.25">
      <c r="C1656" s="906"/>
    </row>
    <row r="1657" spans="3:3" x14ac:dyDescent="0.25">
      <c r="C1657" s="906"/>
    </row>
    <row r="1658" spans="3:3" x14ac:dyDescent="0.25">
      <c r="C1658" s="906"/>
    </row>
    <row r="1659" spans="3:3" x14ac:dyDescent="0.25">
      <c r="C1659" s="906"/>
    </row>
    <row r="1660" spans="3:3" x14ac:dyDescent="0.25">
      <c r="C1660" s="906"/>
    </row>
    <row r="1661" spans="3:3" x14ac:dyDescent="0.25">
      <c r="C1661" s="906"/>
    </row>
    <row r="1662" spans="3:3" x14ac:dyDescent="0.25">
      <c r="C1662" s="906"/>
    </row>
    <row r="1663" spans="3:3" x14ac:dyDescent="0.25">
      <c r="C1663" s="906"/>
    </row>
    <row r="1664" spans="3:3" x14ac:dyDescent="0.25">
      <c r="C1664" s="906"/>
    </row>
    <row r="1665" spans="3:3" x14ac:dyDescent="0.25">
      <c r="C1665" s="906"/>
    </row>
    <row r="1666" spans="3:3" x14ac:dyDescent="0.25">
      <c r="C1666" s="906"/>
    </row>
    <row r="1667" spans="3:3" x14ac:dyDescent="0.25">
      <c r="C1667" s="906"/>
    </row>
    <row r="1668" spans="3:3" x14ac:dyDescent="0.25">
      <c r="C1668" s="906"/>
    </row>
    <row r="1669" spans="3:3" x14ac:dyDescent="0.25">
      <c r="C1669" s="906"/>
    </row>
    <row r="1670" spans="3:3" x14ac:dyDescent="0.25">
      <c r="C1670" s="906"/>
    </row>
    <row r="1671" spans="3:3" x14ac:dyDescent="0.25">
      <c r="C1671" s="906"/>
    </row>
    <row r="1672" spans="3:3" x14ac:dyDescent="0.25">
      <c r="C1672" s="906"/>
    </row>
    <row r="1673" spans="3:3" x14ac:dyDescent="0.25">
      <c r="C1673" s="906"/>
    </row>
    <row r="1674" spans="3:3" x14ac:dyDescent="0.25">
      <c r="C1674" s="906"/>
    </row>
    <row r="1675" spans="3:3" x14ac:dyDescent="0.25">
      <c r="C1675" s="906"/>
    </row>
    <row r="1676" spans="3:3" x14ac:dyDescent="0.25">
      <c r="C1676" s="906"/>
    </row>
    <row r="1677" spans="3:3" x14ac:dyDescent="0.25">
      <c r="C1677" s="906"/>
    </row>
    <row r="1678" spans="3:3" x14ac:dyDescent="0.25">
      <c r="C1678" s="906"/>
    </row>
    <row r="1679" spans="3:3" x14ac:dyDescent="0.25">
      <c r="C1679" s="906"/>
    </row>
    <row r="1680" spans="3:3" x14ac:dyDescent="0.25">
      <c r="C1680" s="906"/>
    </row>
    <row r="1681" spans="3:3" x14ac:dyDescent="0.25">
      <c r="C1681" s="906"/>
    </row>
    <row r="1682" spans="3:3" x14ac:dyDescent="0.25">
      <c r="C1682" s="906"/>
    </row>
    <row r="1683" spans="3:3" x14ac:dyDescent="0.25">
      <c r="C1683" s="906"/>
    </row>
    <row r="1684" spans="3:3" x14ac:dyDescent="0.25">
      <c r="C1684" s="906"/>
    </row>
    <row r="1685" spans="3:3" x14ac:dyDescent="0.25">
      <c r="C1685" s="906"/>
    </row>
    <row r="1686" spans="3:3" x14ac:dyDescent="0.25">
      <c r="C1686" s="906"/>
    </row>
    <row r="1687" spans="3:3" x14ac:dyDescent="0.25">
      <c r="C1687" s="906"/>
    </row>
    <row r="1688" spans="3:3" x14ac:dyDescent="0.25">
      <c r="C1688" s="906"/>
    </row>
    <row r="1689" spans="3:3" x14ac:dyDescent="0.25">
      <c r="C1689" s="906"/>
    </row>
    <row r="1690" spans="3:3" x14ac:dyDescent="0.25">
      <c r="C1690" s="906"/>
    </row>
    <row r="1691" spans="3:3" x14ac:dyDescent="0.25">
      <c r="C1691" s="906"/>
    </row>
    <row r="1692" spans="3:3" x14ac:dyDescent="0.25">
      <c r="C1692" s="906"/>
    </row>
    <row r="1693" spans="3:3" x14ac:dyDescent="0.25">
      <c r="C1693" s="906"/>
    </row>
    <row r="1694" spans="3:3" x14ac:dyDescent="0.25">
      <c r="C1694" s="906"/>
    </row>
    <row r="1695" spans="3:3" x14ac:dyDescent="0.25">
      <c r="C1695" s="906"/>
    </row>
    <row r="1696" spans="3:3" x14ac:dyDescent="0.25">
      <c r="C1696" s="906"/>
    </row>
    <row r="1697" spans="3:3" x14ac:dyDescent="0.25">
      <c r="C1697" s="906"/>
    </row>
    <row r="1698" spans="3:3" x14ac:dyDescent="0.25">
      <c r="C1698" s="906"/>
    </row>
    <row r="1699" spans="3:3" x14ac:dyDescent="0.25">
      <c r="C1699" s="906"/>
    </row>
    <row r="1700" spans="3:3" x14ac:dyDescent="0.25">
      <c r="C1700" s="906"/>
    </row>
    <row r="1701" spans="3:3" x14ac:dyDescent="0.25">
      <c r="C1701" s="906"/>
    </row>
    <row r="1702" spans="3:3" x14ac:dyDescent="0.25">
      <c r="C1702" s="906"/>
    </row>
    <row r="1703" spans="3:3" x14ac:dyDescent="0.25">
      <c r="C1703" s="906"/>
    </row>
    <row r="1704" spans="3:3" x14ac:dyDescent="0.25">
      <c r="C1704" s="906"/>
    </row>
    <row r="1705" spans="3:3" x14ac:dyDescent="0.25">
      <c r="C1705" s="906"/>
    </row>
    <row r="1706" spans="3:3" x14ac:dyDescent="0.25">
      <c r="C1706" s="906"/>
    </row>
    <row r="1707" spans="3:3" x14ac:dyDescent="0.25">
      <c r="C1707" s="906"/>
    </row>
    <row r="1708" spans="3:3" x14ac:dyDescent="0.25">
      <c r="C1708" s="906"/>
    </row>
    <row r="1709" spans="3:3" x14ac:dyDescent="0.25">
      <c r="C1709" s="906"/>
    </row>
    <row r="1710" spans="3:3" x14ac:dyDescent="0.25">
      <c r="C1710" s="906"/>
    </row>
    <row r="1711" spans="3:3" x14ac:dyDescent="0.25">
      <c r="C1711" s="906"/>
    </row>
    <row r="1712" spans="3:3" x14ac:dyDescent="0.25">
      <c r="C1712" s="906"/>
    </row>
    <row r="1713" spans="3:3" x14ac:dyDescent="0.25">
      <c r="C1713" s="906"/>
    </row>
    <row r="1714" spans="3:3" x14ac:dyDescent="0.25">
      <c r="C1714" s="906"/>
    </row>
    <row r="1715" spans="3:3" x14ac:dyDescent="0.25">
      <c r="C1715" s="906"/>
    </row>
    <row r="1716" spans="3:3" x14ac:dyDescent="0.25">
      <c r="C1716" s="906"/>
    </row>
    <row r="1717" spans="3:3" x14ac:dyDescent="0.25">
      <c r="C1717" s="906"/>
    </row>
    <row r="1718" spans="3:3" x14ac:dyDescent="0.25">
      <c r="C1718" s="906"/>
    </row>
    <row r="1719" spans="3:3" x14ac:dyDescent="0.25">
      <c r="C1719" s="906"/>
    </row>
    <row r="1720" spans="3:3" x14ac:dyDescent="0.25">
      <c r="C1720" s="906"/>
    </row>
    <row r="1721" spans="3:3" x14ac:dyDescent="0.25">
      <c r="C1721" s="906"/>
    </row>
    <row r="1722" spans="3:3" x14ac:dyDescent="0.25">
      <c r="C1722" s="906"/>
    </row>
    <row r="1723" spans="3:3" x14ac:dyDescent="0.25">
      <c r="C1723" s="906"/>
    </row>
    <row r="1724" spans="3:3" x14ac:dyDescent="0.25">
      <c r="C1724" s="906"/>
    </row>
    <row r="1725" spans="3:3" x14ac:dyDescent="0.25">
      <c r="C1725" s="906"/>
    </row>
    <row r="1726" spans="3:3" x14ac:dyDescent="0.25">
      <c r="C1726" s="906"/>
    </row>
    <row r="1727" spans="3:3" x14ac:dyDescent="0.25">
      <c r="C1727" s="906"/>
    </row>
    <row r="1728" spans="3:3" x14ac:dyDescent="0.25">
      <c r="C1728" s="906"/>
    </row>
    <row r="1729" spans="3:3" x14ac:dyDescent="0.25">
      <c r="C1729" s="906"/>
    </row>
    <row r="1730" spans="3:3" x14ac:dyDescent="0.25">
      <c r="C1730" s="906"/>
    </row>
    <row r="1731" spans="3:3" x14ac:dyDescent="0.25">
      <c r="C1731" s="906"/>
    </row>
    <row r="1732" spans="3:3" x14ac:dyDescent="0.25">
      <c r="C1732" s="906"/>
    </row>
    <row r="1733" spans="3:3" x14ac:dyDescent="0.25">
      <c r="C1733" s="906"/>
    </row>
    <row r="1734" spans="3:3" x14ac:dyDescent="0.25">
      <c r="C1734" s="906"/>
    </row>
    <row r="1735" spans="3:3" x14ac:dyDescent="0.25">
      <c r="C1735" s="906"/>
    </row>
    <row r="1736" spans="3:3" x14ac:dyDescent="0.25">
      <c r="C1736" s="906"/>
    </row>
    <row r="1737" spans="3:3" x14ac:dyDescent="0.25">
      <c r="C1737" s="906"/>
    </row>
    <row r="1738" spans="3:3" x14ac:dyDescent="0.25">
      <c r="C1738" s="906"/>
    </row>
    <row r="1739" spans="3:3" x14ac:dyDescent="0.25">
      <c r="C1739" s="906"/>
    </row>
    <row r="1740" spans="3:3" x14ac:dyDescent="0.25">
      <c r="C1740" s="906"/>
    </row>
    <row r="1741" spans="3:3" x14ac:dyDescent="0.25">
      <c r="C1741" s="906"/>
    </row>
    <row r="1742" spans="3:3" x14ac:dyDescent="0.25">
      <c r="C1742" s="906"/>
    </row>
    <row r="1743" spans="3:3" x14ac:dyDescent="0.25">
      <c r="C1743" s="906"/>
    </row>
    <row r="1744" spans="3:3" x14ac:dyDescent="0.25">
      <c r="C1744" s="906"/>
    </row>
    <row r="1745" spans="3:3" x14ac:dyDescent="0.25">
      <c r="C1745" s="906"/>
    </row>
    <row r="1746" spans="3:3" x14ac:dyDescent="0.25">
      <c r="C1746" s="906"/>
    </row>
    <row r="1747" spans="3:3" x14ac:dyDescent="0.25">
      <c r="C1747" s="906"/>
    </row>
    <row r="1748" spans="3:3" x14ac:dyDescent="0.25">
      <c r="C1748" s="906"/>
    </row>
    <row r="1749" spans="3:3" x14ac:dyDescent="0.25">
      <c r="C1749" s="906"/>
    </row>
    <row r="1750" spans="3:3" x14ac:dyDescent="0.25">
      <c r="C1750" s="906"/>
    </row>
    <row r="1751" spans="3:3" x14ac:dyDescent="0.25">
      <c r="C1751" s="906"/>
    </row>
    <row r="1752" spans="3:3" x14ac:dyDescent="0.25">
      <c r="C1752" s="906"/>
    </row>
    <row r="1753" spans="3:3" x14ac:dyDescent="0.25">
      <c r="C1753" s="906"/>
    </row>
    <row r="1754" spans="3:3" x14ac:dyDescent="0.25">
      <c r="C1754" s="906"/>
    </row>
    <row r="1755" spans="3:3" x14ac:dyDescent="0.25">
      <c r="C1755" s="906"/>
    </row>
    <row r="1756" spans="3:3" x14ac:dyDescent="0.25">
      <c r="C1756" s="906"/>
    </row>
    <row r="1757" spans="3:3" x14ac:dyDescent="0.25">
      <c r="C1757" s="906"/>
    </row>
    <row r="1758" spans="3:3" x14ac:dyDescent="0.25">
      <c r="C1758" s="906"/>
    </row>
    <row r="1759" spans="3:3" x14ac:dyDescent="0.25">
      <c r="C1759" s="906"/>
    </row>
    <row r="1760" spans="3:3" x14ac:dyDescent="0.25">
      <c r="C1760" s="906"/>
    </row>
    <row r="1761" spans="3:3" x14ac:dyDescent="0.25">
      <c r="C1761" s="906"/>
    </row>
    <row r="1762" spans="3:3" x14ac:dyDescent="0.25">
      <c r="C1762" s="906"/>
    </row>
    <row r="1763" spans="3:3" x14ac:dyDescent="0.25">
      <c r="C1763" s="906"/>
    </row>
    <row r="1764" spans="3:3" x14ac:dyDescent="0.25">
      <c r="C1764" s="906"/>
    </row>
    <row r="1765" spans="3:3" x14ac:dyDescent="0.25">
      <c r="C1765" s="906"/>
    </row>
    <row r="1766" spans="3:3" x14ac:dyDescent="0.25">
      <c r="C1766" s="906"/>
    </row>
    <row r="1767" spans="3:3" x14ac:dyDescent="0.25">
      <c r="C1767" s="906"/>
    </row>
    <row r="1768" spans="3:3" x14ac:dyDescent="0.25">
      <c r="C1768" s="906"/>
    </row>
    <row r="1769" spans="3:3" x14ac:dyDescent="0.25">
      <c r="C1769" s="906"/>
    </row>
    <row r="1770" spans="3:3" x14ac:dyDescent="0.25">
      <c r="C1770" s="906"/>
    </row>
    <row r="1771" spans="3:3" x14ac:dyDescent="0.25">
      <c r="C1771" s="906"/>
    </row>
    <row r="1772" spans="3:3" x14ac:dyDescent="0.25">
      <c r="C1772" s="906"/>
    </row>
    <row r="1773" spans="3:3" x14ac:dyDescent="0.25">
      <c r="C1773" s="906"/>
    </row>
    <row r="1774" spans="3:3" x14ac:dyDescent="0.25">
      <c r="C1774" s="906"/>
    </row>
    <row r="1775" spans="3:3" x14ac:dyDescent="0.25">
      <c r="C1775" s="906"/>
    </row>
    <row r="1776" spans="3:3" x14ac:dyDescent="0.25">
      <c r="C1776" s="906"/>
    </row>
    <row r="1777" spans="3:3" x14ac:dyDescent="0.25">
      <c r="C1777" s="906"/>
    </row>
    <row r="1778" spans="3:3" x14ac:dyDescent="0.25">
      <c r="C1778" s="906"/>
    </row>
    <row r="1779" spans="3:3" x14ac:dyDescent="0.25">
      <c r="C1779" s="906"/>
    </row>
    <row r="1780" spans="3:3" x14ac:dyDescent="0.25">
      <c r="C1780" s="906"/>
    </row>
    <row r="1781" spans="3:3" x14ac:dyDescent="0.25">
      <c r="C1781" s="906"/>
    </row>
    <row r="1782" spans="3:3" x14ac:dyDescent="0.25">
      <c r="C1782" s="906"/>
    </row>
    <row r="1783" spans="3:3" x14ac:dyDescent="0.25">
      <c r="C1783" s="906"/>
    </row>
    <row r="1784" spans="3:3" x14ac:dyDescent="0.25">
      <c r="C1784" s="906"/>
    </row>
    <row r="1785" spans="3:3" x14ac:dyDescent="0.25">
      <c r="C1785" s="906"/>
    </row>
    <row r="1786" spans="3:3" x14ac:dyDescent="0.25">
      <c r="C1786" s="906"/>
    </row>
    <row r="1787" spans="3:3" x14ac:dyDescent="0.25">
      <c r="C1787" s="906"/>
    </row>
    <row r="1788" spans="3:3" x14ac:dyDescent="0.25">
      <c r="C1788" s="906"/>
    </row>
    <row r="1789" spans="3:3" x14ac:dyDescent="0.25">
      <c r="C1789" s="906"/>
    </row>
    <row r="1790" spans="3:3" x14ac:dyDescent="0.25">
      <c r="C1790" s="906"/>
    </row>
    <row r="1791" spans="3:3" x14ac:dyDescent="0.25">
      <c r="C1791" s="906"/>
    </row>
    <row r="1792" spans="3:3" x14ac:dyDescent="0.25">
      <c r="C1792" s="906"/>
    </row>
    <row r="1793" spans="3:3" x14ac:dyDescent="0.25">
      <c r="C1793" s="906"/>
    </row>
    <row r="1794" spans="3:3" x14ac:dyDescent="0.25">
      <c r="C1794" s="906"/>
    </row>
    <row r="1795" spans="3:3" x14ac:dyDescent="0.25">
      <c r="C1795" s="906"/>
    </row>
    <row r="1796" spans="3:3" x14ac:dyDescent="0.25">
      <c r="C1796" s="906"/>
    </row>
    <row r="1797" spans="3:3" x14ac:dyDescent="0.25">
      <c r="C1797" s="906"/>
    </row>
    <row r="1798" spans="3:3" x14ac:dyDescent="0.25">
      <c r="C1798" s="906"/>
    </row>
    <row r="1799" spans="3:3" x14ac:dyDescent="0.25">
      <c r="C1799" s="906"/>
    </row>
    <row r="1800" spans="3:3" x14ac:dyDescent="0.25">
      <c r="C1800" s="906"/>
    </row>
    <row r="1801" spans="3:3" x14ac:dyDescent="0.25">
      <c r="C1801" s="906"/>
    </row>
    <row r="1802" spans="3:3" x14ac:dyDescent="0.25">
      <c r="C1802" s="906"/>
    </row>
    <row r="1803" spans="3:3" x14ac:dyDescent="0.25">
      <c r="C1803" s="906"/>
    </row>
    <row r="1804" spans="3:3" x14ac:dyDescent="0.25">
      <c r="C1804" s="906"/>
    </row>
    <row r="1805" spans="3:3" x14ac:dyDescent="0.25">
      <c r="C1805" s="906"/>
    </row>
    <row r="1806" spans="3:3" x14ac:dyDescent="0.25">
      <c r="C1806" s="906"/>
    </row>
    <row r="1807" spans="3:3" x14ac:dyDescent="0.25">
      <c r="C1807" s="906"/>
    </row>
    <row r="1808" spans="3:3" x14ac:dyDescent="0.25">
      <c r="C1808" s="906"/>
    </row>
    <row r="1809" spans="3:3" x14ac:dyDescent="0.25">
      <c r="C1809" s="906"/>
    </row>
    <row r="1810" spans="3:3" x14ac:dyDescent="0.25">
      <c r="C1810" s="906"/>
    </row>
    <row r="1811" spans="3:3" x14ac:dyDescent="0.25">
      <c r="C1811" s="906"/>
    </row>
    <row r="1812" spans="3:3" x14ac:dyDescent="0.25">
      <c r="C1812" s="906"/>
    </row>
    <row r="1813" spans="3:3" x14ac:dyDescent="0.25">
      <c r="C1813" s="906"/>
    </row>
    <row r="1814" spans="3:3" x14ac:dyDescent="0.25">
      <c r="C1814" s="906"/>
    </row>
    <row r="1815" spans="3:3" x14ac:dyDescent="0.25">
      <c r="C1815" s="906"/>
    </row>
    <row r="1816" spans="3:3" x14ac:dyDescent="0.25">
      <c r="C1816" s="906"/>
    </row>
    <row r="1817" spans="3:3" x14ac:dyDescent="0.25">
      <c r="C1817" s="906"/>
    </row>
    <row r="1818" spans="3:3" x14ac:dyDescent="0.25">
      <c r="C1818" s="906"/>
    </row>
    <row r="1819" spans="3:3" x14ac:dyDescent="0.25">
      <c r="C1819" s="906"/>
    </row>
    <row r="1820" spans="3:3" x14ac:dyDescent="0.25">
      <c r="C1820" s="906"/>
    </row>
    <row r="1821" spans="3:3" x14ac:dyDescent="0.25">
      <c r="C1821" s="906"/>
    </row>
    <row r="1822" spans="3:3" x14ac:dyDescent="0.25">
      <c r="C1822" s="906"/>
    </row>
    <row r="1823" spans="3:3" x14ac:dyDescent="0.25">
      <c r="C1823" s="906"/>
    </row>
    <row r="1824" spans="3:3" x14ac:dyDescent="0.25">
      <c r="C1824" s="906"/>
    </row>
    <row r="1825" spans="3:3" x14ac:dyDescent="0.25">
      <c r="C1825" s="906"/>
    </row>
    <row r="1826" spans="3:3" x14ac:dyDescent="0.25">
      <c r="C1826" s="906"/>
    </row>
    <row r="1827" spans="3:3" x14ac:dyDescent="0.25">
      <c r="C1827" s="906"/>
    </row>
    <row r="1828" spans="3:3" x14ac:dyDescent="0.25">
      <c r="C1828" s="906"/>
    </row>
    <row r="1829" spans="3:3" x14ac:dyDescent="0.25">
      <c r="C1829" s="906"/>
    </row>
    <row r="1830" spans="3:3" x14ac:dyDescent="0.25">
      <c r="C1830" s="906"/>
    </row>
    <row r="1831" spans="3:3" x14ac:dyDescent="0.25">
      <c r="C1831" s="906"/>
    </row>
    <row r="1832" spans="3:3" x14ac:dyDescent="0.25">
      <c r="C1832" s="906"/>
    </row>
    <row r="1833" spans="3:3" x14ac:dyDescent="0.25">
      <c r="C1833" s="906"/>
    </row>
    <row r="1834" spans="3:3" x14ac:dyDescent="0.25">
      <c r="C1834" s="906"/>
    </row>
    <row r="1835" spans="3:3" x14ac:dyDescent="0.25">
      <c r="C1835" s="906"/>
    </row>
    <row r="1836" spans="3:3" x14ac:dyDescent="0.25">
      <c r="C1836" s="906"/>
    </row>
    <row r="1837" spans="3:3" x14ac:dyDescent="0.25">
      <c r="C1837" s="906"/>
    </row>
    <row r="1838" spans="3:3" x14ac:dyDescent="0.25">
      <c r="C1838" s="906"/>
    </row>
    <row r="1839" spans="3:3" x14ac:dyDescent="0.25">
      <c r="C1839" s="906"/>
    </row>
    <row r="1840" spans="3:3" x14ac:dyDescent="0.25">
      <c r="C1840" s="906"/>
    </row>
    <row r="1841" spans="3:3" x14ac:dyDescent="0.25">
      <c r="C1841" s="906"/>
    </row>
    <row r="1842" spans="3:3" x14ac:dyDescent="0.25">
      <c r="C1842" s="906"/>
    </row>
    <row r="1843" spans="3:3" x14ac:dyDescent="0.25">
      <c r="C1843" s="906"/>
    </row>
    <row r="1844" spans="3:3" x14ac:dyDescent="0.25">
      <c r="C1844" s="906"/>
    </row>
    <row r="1845" spans="3:3" x14ac:dyDescent="0.25">
      <c r="C1845" s="906"/>
    </row>
    <row r="1846" spans="3:3" x14ac:dyDescent="0.25">
      <c r="C1846" s="906"/>
    </row>
    <row r="1847" spans="3:3" x14ac:dyDescent="0.25">
      <c r="C1847" s="906"/>
    </row>
    <row r="1848" spans="3:3" x14ac:dyDescent="0.25">
      <c r="C1848" s="906"/>
    </row>
    <row r="1849" spans="3:3" x14ac:dyDescent="0.25">
      <c r="C1849" s="906"/>
    </row>
    <row r="1850" spans="3:3" x14ac:dyDescent="0.25">
      <c r="C1850" s="906"/>
    </row>
    <row r="1851" spans="3:3" x14ac:dyDescent="0.25">
      <c r="C1851" s="906"/>
    </row>
    <row r="1852" spans="3:3" x14ac:dyDescent="0.25">
      <c r="C1852" s="906"/>
    </row>
    <row r="1853" spans="3:3" x14ac:dyDescent="0.25">
      <c r="C1853" s="906"/>
    </row>
    <row r="1854" spans="3:3" x14ac:dyDescent="0.25">
      <c r="C1854" s="906"/>
    </row>
    <row r="1855" spans="3:3" x14ac:dyDescent="0.25">
      <c r="C1855" s="906"/>
    </row>
    <row r="1856" spans="3:3" x14ac:dyDescent="0.25">
      <c r="C1856" s="906"/>
    </row>
    <row r="1857" spans="3:3" x14ac:dyDescent="0.25">
      <c r="C1857" s="906"/>
    </row>
    <row r="1858" spans="3:3" x14ac:dyDescent="0.25">
      <c r="C1858" s="906"/>
    </row>
    <row r="1859" spans="3:3" x14ac:dyDescent="0.25">
      <c r="C1859" s="906"/>
    </row>
    <row r="1860" spans="3:3" x14ac:dyDescent="0.25">
      <c r="C1860" s="906"/>
    </row>
    <row r="1861" spans="3:3" x14ac:dyDescent="0.25">
      <c r="C1861" s="906"/>
    </row>
    <row r="1862" spans="3:3" x14ac:dyDescent="0.25">
      <c r="C1862" s="906"/>
    </row>
    <row r="1863" spans="3:3" x14ac:dyDescent="0.25">
      <c r="C1863" s="906"/>
    </row>
    <row r="1864" spans="3:3" x14ac:dyDescent="0.25">
      <c r="C1864" s="906"/>
    </row>
    <row r="1865" spans="3:3" x14ac:dyDescent="0.25">
      <c r="C1865" s="906"/>
    </row>
    <row r="1866" spans="3:3" x14ac:dyDescent="0.25">
      <c r="C1866" s="906"/>
    </row>
    <row r="1867" spans="3:3" x14ac:dyDescent="0.25">
      <c r="C1867" s="906"/>
    </row>
    <row r="1868" spans="3:3" x14ac:dyDescent="0.25">
      <c r="C1868" s="906"/>
    </row>
    <row r="1869" spans="3:3" x14ac:dyDescent="0.25">
      <c r="C1869" s="906"/>
    </row>
    <row r="1870" spans="3:3" x14ac:dyDescent="0.25">
      <c r="C1870" s="906"/>
    </row>
    <row r="1871" spans="3:3" x14ac:dyDescent="0.25">
      <c r="C1871" s="906"/>
    </row>
    <row r="1872" spans="3:3" x14ac:dyDescent="0.25">
      <c r="C1872" s="906"/>
    </row>
    <row r="1873" spans="3:3" x14ac:dyDescent="0.25">
      <c r="C1873" s="906"/>
    </row>
    <row r="1874" spans="3:3" x14ac:dyDescent="0.25">
      <c r="C1874" s="906"/>
    </row>
    <row r="1875" spans="3:3" x14ac:dyDescent="0.25">
      <c r="C1875" s="906"/>
    </row>
    <row r="1876" spans="3:3" x14ac:dyDescent="0.25">
      <c r="C1876" s="906"/>
    </row>
    <row r="1877" spans="3:3" x14ac:dyDescent="0.25">
      <c r="C1877" s="906"/>
    </row>
    <row r="1878" spans="3:3" x14ac:dyDescent="0.25">
      <c r="C1878" s="906"/>
    </row>
    <row r="1879" spans="3:3" x14ac:dyDescent="0.25">
      <c r="C1879" s="906"/>
    </row>
    <row r="1880" spans="3:3" x14ac:dyDescent="0.25">
      <c r="C1880" s="906"/>
    </row>
    <row r="1881" spans="3:3" x14ac:dyDescent="0.25">
      <c r="C1881" s="906"/>
    </row>
    <row r="1882" spans="3:3" x14ac:dyDescent="0.25">
      <c r="C1882" s="906"/>
    </row>
    <row r="1883" spans="3:3" x14ac:dyDescent="0.25">
      <c r="C1883" s="906"/>
    </row>
    <row r="1884" spans="3:3" x14ac:dyDescent="0.25">
      <c r="C1884" s="906"/>
    </row>
    <row r="1885" spans="3:3" x14ac:dyDescent="0.25">
      <c r="C1885" s="906"/>
    </row>
    <row r="1886" spans="3:3" x14ac:dyDescent="0.25">
      <c r="C1886" s="906"/>
    </row>
    <row r="1887" spans="3:3" x14ac:dyDescent="0.25">
      <c r="C1887" s="906"/>
    </row>
    <row r="1888" spans="3:3" x14ac:dyDescent="0.25">
      <c r="C1888" s="906"/>
    </row>
    <row r="1889" spans="3:3" x14ac:dyDescent="0.25">
      <c r="C1889" s="906"/>
    </row>
    <row r="1890" spans="3:3" x14ac:dyDescent="0.25">
      <c r="C1890" s="906"/>
    </row>
    <row r="1891" spans="3:3" x14ac:dyDescent="0.25">
      <c r="C1891" s="906"/>
    </row>
    <row r="1892" spans="3:3" x14ac:dyDescent="0.25">
      <c r="C1892" s="906"/>
    </row>
    <row r="1893" spans="3:3" x14ac:dyDescent="0.25">
      <c r="C1893" s="906"/>
    </row>
    <row r="1894" spans="3:3" x14ac:dyDescent="0.25">
      <c r="C1894" s="906"/>
    </row>
    <row r="1895" spans="3:3" x14ac:dyDescent="0.25">
      <c r="C1895" s="906"/>
    </row>
    <row r="1896" spans="3:3" x14ac:dyDescent="0.25">
      <c r="C1896" s="906"/>
    </row>
    <row r="1897" spans="3:3" x14ac:dyDescent="0.25">
      <c r="C1897" s="906"/>
    </row>
    <row r="1898" spans="3:3" x14ac:dyDescent="0.25">
      <c r="C1898" s="906"/>
    </row>
    <row r="1899" spans="3:3" x14ac:dyDescent="0.25">
      <c r="C1899" s="906"/>
    </row>
    <row r="1900" spans="3:3" x14ac:dyDescent="0.25">
      <c r="C1900" s="906"/>
    </row>
    <row r="1901" spans="3:3" x14ac:dyDescent="0.25">
      <c r="C1901" s="906"/>
    </row>
    <row r="1902" spans="3:3" x14ac:dyDescent="0.25">
      <c r="C1902" s="906"/>
    </row>
    <row r="1903" spans="3:3" x14ac:dyDescent="0.25">
      <c r="C1903" s="906"/>
    </row>
    <row r="1904" spans="3:3" x14ac:dyDescent="0.25">
      <c r="C1904" s="906"/>
    </row>
    <row r="1905" spans="3:3" x14ac:dyDescent="0.25">
      <c r="C1905" s="906"/>
    </row>
    <row r="1906" spans="3:3" x14ac:dyDescent="0.25">
      <c r="C1906" s="906"/>
    </row>
    <row r="1907" spans="3:3" x14ac:dyDescent="0.25">
      <c r="C1907" s="906"/>
    </row>
    <row r="1908" spans="3:3" x14ac:dyDescent="0.25">
      <c r="C1908" s="906"/>
    </row>
    <row r="1909" spans="3:3" x14ac:dyDescent="0.25">
      <c r="C1909" s="906"/>
    </row>
    <row r="1910" spans="3:3" x14ac:dyDescent="0.25">
      <c r="C1910" s="906"/>
    </row>
    <row r="1911" spans="3:3" x14ac:dyDescent="0.25">
      <c r="C1911" s="906"/>
    </row>
    <row r="1912" spans="3:3" x14ac:dyDescent="0.25">
      <c r="C1912" s="906"/>
    </row>
    <row r="1913" spans="3:3" x14ac:dyDescent="0.25">
      <c r="C1913" s="906"/>
    </row>
    <row r="1914" spans="3:3" x14ac:dyDescent="0.25">
      <c r="C1914" s="906"/>
    </row>
    <row r="1915" spans="3:3" x14ac:dyDescent="0.25">
      <c r="C1915" s="906"/>
    </row>
    <row r="1916" spans="3:3" x14ac:dyDescent="0.25">
      <c r="C1916" s="906"/>
    </row>
    <row r="1917" spans="3:3" x14ac:dyDescent="0.25">
      <c r="C1917" s="906"/>
    </row>
    <row r="1918" spans="3:3" x14ac:dyDescent="0.25">
      <c r="C1918" s="906"/>
    </row>
    <row r="1919" spans="3:3" x14ac:dyDescent="0.25">
      <c r="C1919" s="906"/>
    </row>
    <row r="1920" spans="3:3" x14ac:dyDescent="0.25">
      <c r="C1920" s="906"/>
    </row>
    <row r="1921" spans="3:3" x14ac:dyDescent="0.25">
      <c r="C1921" s="906"/>
    </row>
    <row r="1922" spans="3:3" x14ac:dyDescent="0.25">
      <c r="C1922" s="906"/>
    </row>
    <row r="1923" spans="3:3" x14ac:dyDescent="0.25">
      <c r="C1923" s="906"/>
    </row>
    <row r="1924" spans="3:3" x14ac:dyDescent="0.25">
      <c r="C1924" s="906"/>
    </row>
    <row r="1925" spans="3:3" x14ac:dyDescent="0.25">
      <c r="C1925" s="906"/>
    </row>
    <row r="1926" spans="3:3" x14ac:dyDescent="0.25">
      <c r="C1926" s="906"/>
    </row>
    <row r="1927" spans="3:3" x14ac:dyDescent="0.25">
      <c r="C1927" s="906"/>
    </row>
    <row r="1928" spans="3:3" x14ac:dyDescent="0.25">
      <c r="C1928" s="906"/>
    </row>
    <row r="1929" spans="3:3" x14ac:dyDescent="0.25">
      <c r="C1929" s="906"/>
    </row>
    <row r="1930" spans="3:3" x14ac:dyDescent="0.25">
      <c r="C1930" s="906"/>
    </row>
    <row r="1931" spans="3:3" x14ac:dyDescent="0.25">
      <c r="C1931" s="906"/>
    </row>
    <row r="1932" spans="3:3" x14ac:dyDescent="0.25">
      <c r="C1932" s="906"/>
    </row>
    <row r="1933" spans="3:3" x14ac:dyDescent="0.25">
      <c r="C1933" s="906"/>
    </row>
    <row r="1934" spans="3:3" x14ac:dyDescent="0.25">
      <c r="C1934" s="906"/>
    </row>
    <row r="1935" spans="3:3" x14ac:dyDescent="0.25">
      <c r="C1935" s="906"/>
    </row>
    <row r="1936" spans="3:3" x14ac:dyDescent="0.25">
      <c r="C1936" s="906"/>
    </row>
    <row r="1937" spans="3:3" x14ac:dyDescent="0.25">
      <c r="C1937" s="906"/>
    </row>
    <row r="1938" spans="3:3" x14ac:dyDescent="0.25">
      <c r="C1938" s="906"/>
    </row>
    <row r="1939" spans="3:3" x14ac:dyDescent="0.25">
      <c r="C1939" s="906"/>
    </row>
    <row r="1940" spans="3:3" x14ac:dyDescent="0.25">
      <c r="C1940" s="906"/>
    </row>
    <row r="1941" spans="3:3" x14ac:dyDescent="0.25">
      <c r="C1941" s="906"/>
    </row>
    <row r="1942" spans="3:3" x14ac:dyDescent="0.25">
      <c r="C1942" s="906"/>
    </row>
    <row r="1943" spans="3:3" x14ac:dyDescent="0.25">
      <c r="C1943" s="906"/>
    </row>
    <row r="1944" spans="3:3" x14ac:dyDescent="0.25">
      <c r="C1944" s="906"/>
    </row>
    <row r="1945" spans="3:3" x14ac:dyDescent="0.25">
      <c r="C1945" s="906"/>
    </row>
    <row r="1946" spans="3:3" x14ac:dyDescent="0.25">
      <c r="C1946" s="906"/>
    </row>
    <row r="1947" spans="3:3" x14ac:dyDescent="0.25">
      <c r="C1947" s="906"/>
    </row>
    <row r="1948" spans="3:3" x14ac:dyDescent="0.25">
      <c r="C1948" s="906"/>
    </row>
    <row r="1949" spans="3:3" x14ac:dyDescent="0.25">
      <c r="C1949" s="906"/>
    </row>
    <row r="1950" spans="3:3" x14ac:dyDescent="0.25">
      <c r="C1950" s="906"/>
    </row>
    <row r="1951" spans="3:3" x14ac:dyDescent="0.25">
      <c r="C1951" s="906"/>
    </row>
    <row r="1952" spans="3:3" x14ac:dyDescent="0.25">
      <c r="C1952" s="906"/>
    </row>
    <row r="1953" spans="3:3" x14ac:dyDescent="0.25">
      <c r="C1953" s="906"/>
    </row>
    <row r="1954" spans="3:3" x14ac:dyDescent="0.25">
      <c r="C1954" s="906"/>
    </row>
    <row r="1955" spans="3:3" x14ac:dyDescent="0.25">
      <c r="C1955" s="906"/>
    </row>
    <row r="1956" spans="3:3" x14ac:dyDescent="0.25">
      <c r="C1956" s="906"/>
    </row>
    <row r="1957" spans="3:3" x14ac:dyDescent="0.25">
      <c r="C1957" s="906"/>
    </row>
    <row r="1958" spans="3:3" x14ac:dyDescent="0.25">
      <c r="C1958" s="906"/>
    </row>
    <row r="1959" spans="3:3" x14ac:dyDescent="0.25">
      <c r="C1959" s="906"/>
    </row>
    <row r="1960" spans="3:3" x14ac:dyDescent="0.25">
      <c r="C1960" s="906"/>
    </row>
    <row r="1961" spans="3:3" x14ac:dyDescent="0.25">
      <c r="C1961" s="906"/>
    </row>
    <row r="1962" spans="3:3" x14ac:dyDescent="0.25">
      <c r="C1962" s="906"/>
    </row>
    <row r="1963" spans="3:3" x14ac:dyDescent="0.25">
      <c r="C1963" s="906"/>
    </row>
    <row r="1964" spans="3:3" x14ac:dyDescent="0.25">
      <c r="C1964" s="906"/>
    </row>
    <row r="1965" spans="3:3" x14ac:dyDescent="0.25">
      <c r="C1965" s="906"/>
    </row>
    <row r="1966" spans="3:3" x14ac:dyDescent="0.25">
      <c r="C1966" s="906"/>
    </row>
    <row r="1967" spans="3:3" x14ac:dyDescent="0.25">
      <c r="C1967" s="906"/>
    </row>
    <row r="1968" spans="3:3" x14ac:dyDescent="0.25">
      <c r="C1968" s="906"/>
    </row>
    <row r="1969" spans="3:3" x14ac:dyDescent="0.25">
      <c r="C1969" s="906"/>
    </row>
    <row r="1970" spans="3:3" x14ac:dyDescent="0.25">
      <c r="C1970" s="906"/>
    </row>
    <row r="1971" spans="3:3" x14ac:dyDescent="0.25">
      <c r="C1971" s="906"/>
    </row>
    <row r="1972" spans="3:3" x14ac:dyDescent="0.25">
      <c r="C1972" s="906"/>
    </row>
    <row r="1973" spans="3:3" x14ac:dyDescent="0.25">
      <c r="C1973" s="906"/>
    </row>
    <row r="1974" spans="3:3" x14ac:dyDescent="0.25">
      <c r="C1974" s="906"/>
    </row>
    <row r="1975" spans="3:3" x14ac:dyDescent="0.25">
      <c r="C1975" s="906"/>
    </row>
    <row r="1976" spans="3:3" x14ac:dyDescent="0.25">
      <c r="C1976" s="906"/>
    </row>
    <row r="1977" spans="3:3" x14ac:dyDescent="0.25">
      <c r="C1977" s="906"/>
    </row>
    <row r="1978" spans="3:3" x14ac:dyDescent="0.25">
      <c r="C1978" s="906"/>
    </row>
    <row r="1979" spans="3:3" x14ac:dyDescent="0.25">
      <c r="C1979" s="906"/>
    </row>
    <row r="1980" spans="3:3" x14ac:dyDescent="0.25">
      <c r="C1980" s="906"/>
    </row>
    <row r="1981" spans="3:3" x14ac:dyDescent="0.25">
      <c r="C1981" s="906"/>
    </row>
    <row r="1982" spans="3:3" x14ac:dyDescent="0.25">
      <c r="C1982" s="906"/>
    </row>
    <row r="1983" spans="3:3" x14ac:dyDescent="0.25">
      <c r="C1983" s="906"/>
    </row>
    <row r="1984" spans="3:3" x14ac:dyDescent="0.25">
      <c r="C1984" s="906"/>
    </row>
    <row r="1985" spans="3:3" x14ac:dyDescent="0.25">
      <c r="C1985" s="906"/>
    </row>
    <row r="1986" spans="3:3" x14ac:dyDescent="0.25">
      <c r="C1986" s="906"/>
    </row>
    <row r="1987" spans="3:3" x14ac:dyDescent="0.25">
      <c r="C1987" s="906"/>
    </row>
    <row r="1988" spans="3:3" x14ac:dyDescent="0.25">
      <c r="C1988" s="906"/>
    </row>
    <row r="1989" spans="3:3" x14ac:dyDescent="0.25">
      <c r="C1989" s="906"/>
    </row>
    <row r="1990" spans="3:3" x14ac:dyDescent="0.25">
      <c r="C1990" s="906"/>
    </row>
    <row r="1991" spans="3:3" x14ac:dyDescent="0.25">
      <c r="C1991" s="906"/>
    </row>
    <row r="1992" spans="3:3" x14ac:dyDescent="0.25">
      <c r="C1992" s="906"/>
    </row>
    <row r="1993" spans="3:3" x14ac:dyDescent="0.25">
      <c r="C1993" s="906"/>
    </row>
    <row r="1994" spans="3:3" x14ac:dyDescent="0.25">
      <c r="C1994" s="906"/>
    </row>
    <row r="1995" spans="3:3" x14ac:dyDescent="0.25">
      <c r="C1995" s="906"/>
    </row>
    <row r="1996" spans="3:3" x14ac:dyDescent="0.25">
      <c r="C1996" s="906"/>
    </row>
    <row r="1997" spans="3:3" x14ac:dyDescent="0.25">
      <c r="C1997" s="906"/>
    </row>
    <row r="1998" spans="3:3" x14ac:dyDescent="0.25">
      <c r="C1998" s="906"/>
    </row>
    <row r="1999" spans="3:3" x14ac:dyDescent="0.25">
      <c r="C1999" s="906"/>
    </row>
    <row r="2000" spans="3:3" x14ac:dyDescent="0.25">
      <c r="C2000" s="906"/>
    </row>
    <row r="2001" spans="3:3" x14ac:dyDescent="0.25">
      <c r="C2001" s="906"/>
    </row>
    <row r="2002" spans="3:3" x14ac:dyDescent="0.25">
      <c r="C2002" s="906"/>
    </row>
    <row r="2003" spans="3:3" x14ac:dyDescent="0.25">
      <c r="C2003" s="906"/>
    </row>
    <row r="2004" spans="3:3" x14ac:dyDescent="0.25">
      <c r="C2004" s="906"/>
    </row>
    <row r="2005" spans="3:3" x14ac:dyDescent="0.25">
      <c r="C2005" s="906"/>
    </row>
    <row r="2006" spans="3:3" x14ac:dyDescent="0.25">
      <c r="C2006" s="906"/>
    </row>
    <row r="2007" spans="3:3" x14ac:dyDescent="0.25">
      <c r="C2007" s="906"/>
    </row>
    <row r="2008" spans="3:3" x14ac:dyDescent="0.25">
      <c r="C2008" s="906"/>
    </row>
    <row r="2009" spans="3:3" x14ac:dyDescent="0.25">
      <c r="C2009" s="906"/>
    </row>
    <row r="2010" spans="3:3" x14ac:dyDescent="0.25">
      <c r="C2010" s="906"/>
    </row>
    <row r="2011" spans="3:3" x14ac:dyDescent="0.25">
      <c r="C2011" s="906"/>
    </row>
    <row r="2012" spans="3:3" x14ac:dyDescent="0.25">
      <c r="C2012" s="906"/>
    </row>
    <row r="2013" spans="3:3" x14ac:dyDescent="0.25">
      <c r="C2013" s="906"/>
    </row>
    <row r="2014" spans="3:3" x14ac:dyDescent="0.25">
      <c r="C2014" s="906"/>
    </row>
    <row r="2015" spans="3:3" x14ac:dyDescent="0.25">
      <c r="C2015" s="906"/>
    </row>
    <row r="2016" spans="3:3" x14ac:dyDescent="0.25">
      <c r="C2016" s="906"/>
    </row>
    <row r="2017" spans="3:3" x14ac:dyDescent="0.25">
      <c r="C2017" s="906"/>
    </row>
    <row r="2018" spans="3:3" x14ac:dyDescent="0.25">
      <c r="C2018" s="906"/>
    </row>
    <row r="2019" spans="3:3" x14ac:dyDescent="0.25">
      <c r="C2019" s="906"/>
    </row>
    <row r="2020" spans="3:3" x14ac:dyDescent="0.25">
      <c r="C2020" s="906"/>
    </row>
    <row r="2021" spans="3:3" x14ac:dyDescent="0.25">
      <c r="C2021" s="906"/>
    </row>
    <row r="2022" spans="3:3" x14ac:dyDescent="0.25">
      <c r="C2022" s="906"/>
    </row>
    <row r="2023" spans="3:3" x14ac:dyDescent="0.25">
      <c r="C2023" s="906"/>
    </row>
    <row r="2024" spans="3:3" x14ac:dyDescent="0.25">
      <c r="C2024" s="906"/>
    </row>
    <row r="2025" spans="3:3" x14ac:dyDescent="0.25">
      <c r="C2025" s="906"/>
    </row>
    <row r="2026" spans="3:3" x14ac:dyDescent="0.25">
      <c r="C2026" s="906"/>
    </row>
    <row r="2027" spans="3:3" x14ac:dyDescent="0.25">
      <c r="C2027" s="906"/>
    </row>
    <row r="2028" spans="3:3" x14ac:dyDescent="0.25">
      <c r="C2028" s="906"/>
    </row>
    <row r="2029" spans="3:3" x14ac:dyDescent="0.25">
      <c r="C2029" s="906"/>
    </row>
    <row r="2030" spans="3:3" x14ac:dyDescent="0.25">
      <c r="C2030" s="906"/>
    </row>
    <row r="2031" spans="3:3" x14ac:dyDescent="0.25">
      <c r="C2031" s="906"/>
    </row>
    <row r="2032" spans="3:3" x14ac:dyDescent="0.25">
      <c r="C2032" s="906"/>
    </row>
    <row r="2033" spans="3:3" x14ac:dyDescent="0.25">
      <c r="C2033" s="906"/>
    </row>
    <row r="2034" spans="3:3" x14ac:dyDescent="0.25">
      <c r="C2034" s="906"/>
    </row>
    <row r="2035" spans="3:3" x14ac:dyDescent="0.25">
      <c r="C2035" s="906"/>
    </row>
    <row r="2036" spans="3:3" x14ac:dyDescent="0.25">
      <c r="C2036" s="906"/>
    </row>
    <row r="2037" spans="3:3" x14ac:dyDescent="0.25">
      <c r="C2037" s="906"/>
    </row>
    <row r="2038" spans="3:3" x14ac:dyDescent="0.25">
      <c r="C2038" s="906"/>
    </row>
    <row r="2039" spans="3:3" x14ac:dyDescent="0.25">
      <c r="C2039" s="906"/>
    </row>
    <row r="2040" spans="3:3" x14ac:dyDescent="0.25">
      <c r="C2040" s="906"/>
    </row>
    <row r="2041" spans="3:3" x14ac:dyDescent="0.25">
      <c r="C2041" s="906"/>
    </row>
    <row r="2042" spans="3:3" x14ac:dyDescent="0.25">
      <c r="C2042" s="906"/>
    </row>
    <row r="2043" spans="3:3" x14ac:dyDescent="0.25">
      <c r="C2043" s="906"/>
    </row>
    <row r="2044" spans="3:3" x14ac:dyDescent="0.25">
      <c r="C2044" s="906"/>
    </row>
    <row r="2045" spans="3:3" x14ac:dyDescent="0.25">
      <c r="C2045" s="906"/>
    </row>
    <row r="2046" spans="3:3" x14ac:dyDescent="0.25">
      <c r="C2046" s="906"/>
    </row>
    <row r="2047" spans="3:3" x14ac:dyDescent="0.25">
      <c r="C2047" s="906"/>
    </row>
    <row r="2048" spans="3:3" x14ac:dyDescent="0.25">
      <c r="C2048" s="906"/>
    </row>
    <row r="2049" spans="3:3" x14ac:dyDescent="0.25">
      <c r="C2049" s="906"/>
    </row>
    <row r="2050" spans="3:3" x14ac:dyDescent="0.25">
      <c r="C2050" s="906"/>
    </row>
    <row r="2051" spans="3:3" x14ac:dyDescent="0.25">
      <c r="C2051" s="906"/>
    </row>
    <row r="2052" spans="3:3" x14ac:dyDescent="0.25">
      <c r="C2052" s="906"/>
    </row>
    <row r="2053" spans="3:3" x14ac:dyDescent="0.25">
      <c r="C2053" s="906"/>
    </row>
    <row r="2054" spans="3:3" x14ac:dyDescent="0.25">
      <c r="C2054" s="906"/>
    </row>
    <row r="2055" spans="3:3" x14ac:dyDescent="0.25">
      <c r="C2055" s="906"/>
    </row>
    <row r="2056" spans="3:3" x14ac:dyDescent="0.25">
      <c r="C2056" s="906"/>
    </row>
    <row r="2057" spans="3:3" x14ac:dyDescent="0.25">
      <c r="C2057" s="906"/>
    </row>
    <row r="2058" spans="3:3" x14ac:dyDescent="0.25">
      <c r="C2058" s="906"/>
    </row>
    <row r="2059" spans="3:3" x14ac:dyDescent="0.25">
      <c r="C2059" s="906"/>
    </row>
    <row r="2060" spans="3:3" x14ac:dyDescent="0.25">
      <c r="C2060" s="906"/>
    </row>
    <row r="2061" spans="3:3" x14ac:dyDescent="0.25">
      <c r="C2061" s="906"/>
    </row>
    <row r="2062" spans="3:3" x14ac:dyDescent="0.25">
      <c r="C2062" s="906"/>
    </row>
    <row r="2063" spans="3:3" x14ac:dyDescent="0.25">
      <c r="C2063" s="906"/>
    </row>
    <row r="2064" spans="3:3" x14ac:dyDescent="0.25">
      <c r="C2064" s="906"/>
    </row>
    <row r="2065" spans="3:3" x14ac:dyDescent="0.25">
      <c r="C2065" s="906"/>
    </row>
    <row r="2066" spans="3:3" x14ac:dyDescent="0.25">
      <c r="C2066" s="906"/>
    </row>
    <row r="2067" spans="3:3" x14ac:dyDescent="0.25">
      <c r="C2067" s="906"/>
    </row>
    <row r="2068" spans="3:3" x14ac:dyDescent="0.25">
      <c r="C2068" s="906"/>
    </row>
    <row r="2069" spans="3:3" x14ac:dyDescent="0.25">
      <c r="C2069" s="906"/>
    </row>
    <row r="2070" spans="3:3" x14ac:dyDescent="0.25">
      <c r="C2070" s="906"/>
    </row>
    <row r="2071" spans="3:3" x14ac:dyDescent="0.25">
      <c r="C2071" s="906"/>
    </row>
    <row r="2072" spans="3:3" x14ac:dyDescent="0.25">
      <c r="C2072" s="906"/>
    </row>
    <row r="2073" spans="3:3" x14ac:dyDescent="0.25">
      <c r="C2073" s="906"/>
    </row>
    <row r="2074" spans="3:3" x14ac:dyDescent="0.25">
      <c r="C2074" s="906"/>
    </row>
    <row r="2075" spans="3:3" x14ac:dyDescent="0.25">
      <c r="C2075" s="906"/>
    </row>
    <row r="2076" spans="3:3" x14ac:dyDescent="0.25">
      <c r="C2076" s="906"/>
    </row>
    <row r="2077" spans="3:3" x14ac:dyDescent="0.25">
      <c r="C2077" s="906"/>
    </row>
    <row r="2078" spans="3:3" x14ac:dyDescent="0.25">
      <c r="C2078" s="906"/>
    </row>
    <row r="2079" spans="3:3" x14ac:dyDescent="0.25">
      <c r="C2079" s="906"/>
    </row>
    <row r="2080" spans="3:3" x14ac:dyDescent="0.25">
      <c r="C2080" s="906"/>
    </row>
    <row r="2081" spans="3:3" x14ac:dyDescent="0.25">
      <c r="C2081" s="906"/>
    </row>
    <row r="2082" spans="3:3" x14ac:dyDescent="0.25">
      <c r="C2082" s="906"/>
    </row>
    <row r="2083" spans="3:3" x14ac:dyDescent="0.25">
      <c r="C2083" s="906"/>
    </row>
    <row r="2084" spans="3:3" x14ac:dyDescent="0.25">
      <c r="C2084" s="906"/>
    </row>
    <row r="2085" spans="3:3" x14ac:dyDescent="0.25">
      <c r="C2085" s="906"/>
    </row>
    <row r="2086" spans="3:3" x14ac:dyDescent="0.25">
      <c r="C2086" s="906"/>
    </row>
    <row r="2087" spans="3:3" x14ac:dyDescent="0.25">
      <c r="C2087" s="906"/>
    </row>
    <row r="2088" spans="3:3" x14ac:dyDescent="0.25">
      <c r="C2088" s="906"/>
    </row>
    <row r="2089" spans="3:3" x14ac:dyDescent="0.25">
      <c r="C2089" s="906"/>
    </row>
    <row r="2090" spans="3:3" x14ac:dyDescent="0.25">
      <c r="C2090" s="906"/>
    </row>
    <row r="2091" spans="3:3" x14ac:dyDescent="0.25">
      <c r="C2091" s="906"/>
    </row>
    <row r="2092" spans="3:3" x14ac:dyDescent="0.25">
      <c r="C2092" s="906"/>
    </row>
    <row r="2093" spans="3:3" x14ac:dyDescent="0.25">
      <c r="C2093" s="906"/>
    </row>
    <row r="2094" spans="3:3" x14ac:dyDescent="0.25">
      <c r="C2094" s="906"/>
    </row>
    <row r="2095" spans="3:3" x14ac:dyDescent="0.25">
      <c r="C2095" s="906"/>
    </row>
    <row r="2096" spans="3:3" x14ac:dyDescent="0.25">
      <c r="C2096" s="906"/>
    </row>
    <row r="2097" spans="3:3" x14ac:dyDescent="0.25">
      <c r="C2097" s="906"/>
    </row>
    <row r="2098" spans="3:3" x14ac:dyDescent="0.25">
      <c r="C2098" s="906"/>
    </row>
    <row r="2099" spans="3:3" x14ac:dyDescent="0.25">
      <c r="C2099" s="906"/>
    </row>
    <row r="2100" spans="3:3" x14ac:dyDescent="0.25">
      <c r="C2100" s="906"/>
    </row>
    <row r="2101" spans="3:3" x14ac:dyDescent="0.25">
      <c r="C2101" s="906"/>
    </row>
    <row r="2102" spans="3:3" x14ac:dyDescent="0.25">
      <c r="C2102" s="906"/>
    </row>
    <row r="2103" spans="3:3" x14ac:dyDescent="0.25">
      <c r="C2103" s="906"/>
    </row>
    <row r="2104" spans="3:3" x14ac:dyDescent="0.25">
      <c r="C2104" s="906"/>
    </row>
    <row r="2105" spans="3:3" x14ac:dyDescent="0.25">
      <c r="C2105" s="906"/>
    </row>
    <row r="2106" spans="3:3" x14ac:dyDescent="0.25">
      <c r="C2106" s="906"/>
    </row>
    <row r="2107" spans="3:3" x14ac:dyDescent="0.25">
      <c r="C2107" s="906"/>
    </row>
    <row r="2108" spans="3:3" x14ac:dyDescent="0.25">
      <c r="C2108" s="906"/>
    </row>
    <row r="2109" spans="3:3" x14ac:dyDescent="0.25">
      <c r="C2109" s="906"/>
    </row>
    <row r="2110" spans="3:3" x14ac:dyDescent="0.25">
      <c r="C2110" s="906"/>
    </row>
    <row r="2111" spans="3:3" x14ac:dyDescent="0.25">
      <c r="C2111" s="906"/>
    </row>
    <row r="2112" spans="3:3" x14ac:dyDescent="0.25">
      <c r="C2112" s="906"/>
    </row>
    <row r="2113" spans="3:3" x14ac:dyDescent="0.25">
      <c r="C2113" s="906"/>
    </row>
    <row r="2114" spans="3:3" x14ac:dyDescent="0.25">
      <c r="C2114" s="906"/>
    </row>
    <row r="2115" spans="3:3" x14ac:dyDescent="0.25">
      <c r="C2115" s="906"/>
    </row>
    <row r="2116" spans="3:3" x14ac:dyDescent="0.25">
      <c r="C2116" s="906"/>
    </row>
    <row r="2117" spans="3:3" x14ac:dyDescent="0.25">
      <c r="C2117" s="906"/>
    </row>
    <row r="2118" spans="3:3" x14ac:dyDescent="0.25">
      <c r="C2118" s="906"/>
    </row>
    <row r="2119" spans="3:3" x14ac:dyDescent="0.25">
      <c r="C2119" s="906"/>
    </row>
    <row r="2120" spans="3:3" x14ac:dyDescent="0.25">
      <c r="C2120" s="906"/>
    </row>
    <row r="2121" spans="3:3" x14ac:dyDescent="0.25">
      <c r="C2121" s="906"/>
    </row>
    <row r="2122" spans="3:3" x14ac:dyDescent="0.25">
      <c r="C2122" s="906"/>
    </row>
    <row r="2123" spans="3:3" x14ac:dyDescent="0.25">
      <c r="C2123" s="906"/>
    </row>
    <row r="2124" spans="3:3" x14ac:dyDescent="0.25">
      <c r="C2124" s="906"/>
    </row>
    <row r="2125" spans="3:3" x14ac:dyDescent="0.25">
      <c r="C2125" s="906"/>
    </row>
    <row r="2126" spans="3:3" x14ac:dyDescent="0.25">
      <c r="C2126" s="906"/>
    </row>
    <row r="2127" spans="3:3" x14ac:dyDescent="0.25">
      <c r="C2127" s="906"/>
    </row>
    <row r="2128" spans="3:3" x14ac:dyDescent="0.25">
      <c r="C2128" s="906"/>
    </row>
    <row r="2129" spans="3:3" x14ac:dyDescent="0.25">
      <c r="C2129" s="906"/>
    </row>
    <row r="2130" spans="3:3" x14ac:dyDescent="0.25">
      <c r="C2130" s="906"/>
    </row>
    <row r="2131" spans="3:3" x14ac:dyDescent="0.25">
      <c r="C2131" s="906"/>
    </row>
    <row r="2132" spans="3:3" x14ac:dyDescent="0.25">
      <c r="C2132" s="906"/>
    </row>
    <row r="2133" spans="3:3" x14ac:dyDescent="0.25">
      <c r="C2133" s="906"/>
    </row>
    <row r="2134" spans="3:3" x14ac:dyDescent="0.25">
      <c r="C2134" s="906"/>
    </row>
    <row r="2135" spans="3:3" x14ac:dyDescent="0.25">
      <c r="C2135" s="906"/>
    </row>
    <row r="2136" spans="3:3" x14ac:dyDescent="0.25">
      <c r="C2136" s="906"/>
    </row>
    <row r="2137" spans="3:3" x14ac:dyDescent="0.25">
      <c r="C2137" s="906"/>
    </row>
    <row r="2138" spans="3:3" x14ac:dyDescent="0.25">
      <c r="C2138" s="906"/>
    </row>
    <row r="2139" spans="3:3" x14ac:dyDescent="0.25">
      <c r="C2139" s="906"/>
    </row>
    <row r="2140" spans="3:3" x14ac:dyDescent="0.25">
      <c r="C2140" s="906"/>
    </row>
    <row r="2141" spans="3:3" x14ac:dyDescent="0.25">
      <c r="C2141" s="906"/>
    </row>
    <row r="2142" spans="3:3" x14ac:dyDescent="0.25">
      <c r="C2142" s="906"/>
    </row>
    <row r="2143" spans="3:3" x14ac:dyDescent="0.25">
      <c r="C2143" s="906"/>
    </row>
    <row r="2144" spans="3:3" x14ac:dyDescent="0.25">
      <c r="C2144" s="906"/>
    </row>
    <row r="2145" spans="3:3" x14ac:dyDescent="0.25">
      <c r="C2145" s="906"/>
    </row>
    <row r="2146" spans="3:3" x14ac:dyDescent="0.25">
      <c r="C2146" s="906"/>
    </row>
    <row r="2147" spans="3:3" x14ac:dyDescent="0.25">
      <c r="C2147" s="906"/>
    </row>
    <row r="2148" spans="3:3" x14ac:dyDescent="0.25">
      <c r="C2148" s="906"/>
    </row>
    <row r="2149" spans="3:3" x14ac:dyDescent="0.25">
      <c r="C2149" s="906"/>
    </row>
    <row r="2150" spans="3:3" x14ac:dyDescent="0.25">
      <c r="C2150" s="906"/>
    </row>
    <row r="2151" spans="3:3" x14ac:dyDescent="0.25">
      <c r="C2151" s="906"/>
    </row>
    <row r="2152" spans="3:3" x14ac:dyDescent="0.25">
      <c r="C2152" s="906"/>
    </row>
    <row r="2153" spans="3:3" x14ac:dyDescent="0.25">
      <c r="C2153" s="906"/>
    </row>
    <row r="2154" spans="3:3" x14ac:dyDescent="0.25">
      <c r="C2154" s="906"/>
    </row>
    <row r="2155" spans="3:3" x14ac:dyDescent="0.25">
      <c r="C2155" s="906"/>
    </row>
    <row r="2156" spans="3:3" x14ac:dyDescent="0.25">
      <c r="C2156" s="906"/>
    </row>
    <row r="2157" spans="3:3" x14ac:dyDescent="0.25">
      <c r="C2157" s="906"/>
    </row>
    <row r="2158" spans="3:3" x14ac:dyDescent="0.25">
      <c r="C2158" s="906"/>
    </row>
    <row r="2159" spans="3:3" x14ac:dyDescent="0.25">
      <c r="C2159" s="906"/>
    </row>
    <row r="2160" spans="3:3" x14ac:dyDescent="0.25">
      <c r="C2160" s="906"/>
    </row>
    <row r="2161" spans="3:3" x14ac:dyDescent="0.25">
      <c r="C2161" s="906"/>
    </row>
    <row r="2162" spans="3:3" x14ac:dyDescent="0.25">
      <c r="C2162" s="906"/>
    </row>
    <row r="2163" spans="3:3" x14ac:dyDescent="0.25">
      <c r="C2163" s="906"/>
    </row>
    <row r="2164" spans="3:3" x14ac:dyDescent="0.25">
      <c r="C2164" s="906"/>
    </row>
    <row r="2165" spans="3:3" x14ac:dyDescent="0.25">
      <c r="C2165" s="906"/>
    </row>
    <row r="2166" spans="3:3" x14ac:dyDescent="0.25">
      <c r="C2166" s="906"/>
    </row>
    <row r="2167" spans="3:3" x14ac:dyDescent="0.25">
      <c r="C2167" s="906"/>
    </row>
    <row r="2168" spans="3:3" x14ac:dyDescent="0.25">
      <c r="C2168" s="906"/>
    </row>
    <row r="2169" spans="3:3" x14ac:dyDescent="0.25">
      <c r="C2169" s="906"/>
    </row>
    <row r="2170" spans="3:3" x14ac:dyDescent="0.25">
      <c r="C2170" s="906"/>
    </row>
    <row r="2171" spans="3:3" x14ac:dyDescent="0.25">
      <c r="C2171" s="906"/>
    </row>
    <row r="2172" spans="3:3" x14ac:dyDescent="0.25">
      <c r="C2172" s="906"/>
    </row>
    <row r="2173" spans="3:3" x14ac:dyDescent="0.25">
      <c r="C2173" s="906"/>
    </row>
    <row r="2174" spans="3:3" x14ac:dyDescent="0.25">
      <c r="C2174" s="906"/>
    </row>
    <row r="2175" spans="3:3" x14ac:dyDescent="0.25">
      <c r="C2175" s="906"/>
    </row>
    <row r="2176" spans="3:3" x14ac:dyDescent="0.25">
      <c r="C2176" s="906"/>
    </row>
    <row r="2177" spans="3:3" x14ac:dyDescent="0.25">
      <c r="C2177" s="906"/>
    </row>
    <row r="2178" spans="3:3" x14ac:dyDescent="0.25">
      <c r="C2178" s="906"/>
    </row>
    <row r="2179" spans="3:3" x14ac:dyDescent="0.25">
      <c r="C2179" s="906"/>
    </row>
    <row r="2180" spans="3:3" x14ac:dyDescent="0.25">
      <c r="C2180" s="906"/>
    </row>
    <row r="2181" spans="3:3" x14ac:dyDescent="0.25">
      <c r="C2181" s="906"/>
    </row>
    <row r="2182" spans="3:3" x14ac:dyDescent="0.25">
      <c r="C2182" s="906"/>
    </row>
    <row r="2183" spans="3:3" x14ac:dyDescent="0.25">
      <c r="C2183" s="906"/>
    </row>
    <row r="2184" spans="3:3" x14ac:dyDescent="0.25">
      <c r="C2184" s="906"/>
    </row>
    <row r="2185" spans="3:3" x14ac:dyDescent="0.25">
      <c r="C2185" s="906"/>
    </row>
    <row r="2186" spans="3:3" x14ac:dyDescent="0.25">
      <c r="C2186" s="906"/>
    </row>
    <row r="2187" spans="3:3" x14ac:dyDescent="0.25">
      <c r="C2187" s="906"/>
    </row>
    <row r="2188" spans="3:3" x14ac:dyDescent="0.25">
      <c r="C2188" s="906"/>
    </row>
    <row r="2189" spans="3:3" x14ac:dyDescent="0.25">
      <c r="C2189" s="906"/>
    </row>
    <row r="2190" spans="3:3" x14ac:dyDescent="0.25">
      <c r="C2190" s="906"/>
    </row>
    <row r="2191" spans="3:3" x14ac:dyDescent="0.25">
      <c r="C2191" s="906"/>
    </row>
    <row r="2192" spans="3:3" x14ac:dyDescent="0.25">
      <c r="C2192" s="906"/>
    </row>
    <row r="2193" spans="3:3" x14ac:dyDescent="0.25">
      <c r="C2193" s="906"/>
    </row>
    <row r="2194" spans="3:3" x14ac:dyDescent="0.25">
      <c r="C2194" s="906"/>
    </row>
    <row r="2195" spans="3:3" x14ac:dyDescent="0.25">
      <c r="C2195" s="906"/>
    </row>
    <row r="2196" spans="3:3" x14ac:dyDescent="0.25">
      <c r="C2196" s="906"/>
    </row>
    <row r="2197" spans="3:3" x14ac:dyDescent="0.25">
      <c r="C2197" s="906"/>
    </row>
    <row r="2198" spans="3:3" x14ac:dyDescent="0.25">
      <c r="C2198" s="906"/>
    </row>
    <row r="2199" spans="3:3" x14ac:dyDescent="0.25">
      <c r="C2199" s="906"/>
    </row>
    <row r="2200" spans="3:3" x14ac:dyDescent="0.25">
      <c r="C2200" s="906"/>
    </row>
    <row r="2201" spans="3:3" x14ac:dyDescent="0.25">
      <c r="C2201" s="906"/>
    </row>
    <row r="2202" spans="3:3" x14ac:dyDescent="0.25">
      <c r="C2202" s="906"/>
    </row>
    <row r="2203" spans="3:3" x14ac:dyDescent="0.25">
      <c r="C2203" s="906"/>
    </row>
    <row r="2204" spans="3:3" x14ac:dyDescent="0.25">
      <c r="C2204" s="906"/>
    </row>
    <row r="2205" spans="3:3" x14ac:dyDescent="0.25">
      <c r="C2205" s="906"/>
    </row>
    <row r="2206" spans="3:3" x14ac:dyDescent="0.25">
      <c r="C2206" s="906"/>
    </row>
    <row r="2207" spans="3:3" x14ac:dyDescent="0.25">
      <c r="C2207" s="906"/>
    </row>
    <row r="2208" spans="3:3" x14ac:dyDescent="0.25">
      <c r="C2208" s="906"/>
    </row>
    <row r="2209" spans="3:3" x14ac:dyDescent="0.25">
      <c r="C2209" s="906"/>
    </row>
    <row r="2210" spans="3:3" x14ac:dyDescent="0.25">
      <c r="C2210" s="906"/>
    </row>
    <row r="2211" spans="3:3" x14ac:dyDescent="0.25">
      <c r="C2211" s="906"/>
    </row>
    <row r="2212" spans="3:3" x14ac:dyDescent="0.25">
      <c r="C2212" s="906"/>
    </row>
    <row r="2213" spans="3:3" x14ac:dyDescent="0.25">
      <c r="C2213" s="906"/>
    </row>
    <row r="2214" spans="3:3" x14ac:dyDescent="0.25">
      <c r="C2214" s="906"/>
    </row>
    <row r="2215" spans="3:3" x14ac:dyDescent="0.25">
      <c r="C2215" s="906"/>
    </row>
    <row r="2216" spans="3:3" x14ac:dyDescent="0.25">
      <c r="C2216" s="906"/>
    </row>
    <row r="2217" spans="3:3" x14ac:dyDescent="0.25">
      <c r="C2217" s="906"/>
    </row>
    <row r="2218" spans="3:3" x14ac:dyDescent="0.25">
      <c r="C2218" s="906"/>
    </row>
    <row r="2219" spans="3:3" x14ac:dyDescent="0.25">
      <c r="C2219" s="906"/>
    </row>
    <row r="2220" spans="3:3" x14ac:dyDescent="0.25">
      <c r="C2220" s="906"/>
    </row>
    <row r="2221" spans="3:3" x14ac:dyDescent="0.25">
      <c r="C2221" s="906"/>
    </row>
    <row r="2222" spans="3:3" x14ac:dyDescent="0.25">
      <c r="C2222" s="906"/>
    </row>
    <row r="2223" spans="3:3" x14ac:dyDescent="0.25">
      <c r="C2223" s="906"/>
    </row>
    <row r="2224" spans="3:3" x14ac:dyDescent="0.25">
      <c r="C2224" s="906"/>
    </row>
    <row r="2225" spans="3:3" x14ac:dyDescent="0.25">
      <c r="C2225" s="906"/>
    </row>
    <row r="2226" spans="3:3" x14ac:dyDescent="0.25">
      <c r="C2226" s="906"/>
    </row>
    <row r="2227" spans="3:3" x14ac:dyDescent="0.25">
      <c r="C2227" s="906"/>
    </row>
    <row r="2228" spans="3:3" x14ac:dyDescent="0.25">
      <c r="C2228" s="906"/>
    </row>
    <row r="2229" spans="3:3" x14ac:dyDescent="0.25">
      <c r="C2229" s="906"/>
    </row>
    <row r="2230" spans="3:3" x14ac:dyDescent="0.25">
      <c r="C2230" s="906"/>
    </row>
    <row r="2231" spans="3:3" x14ac:dyDescent="0.25">
      <c r="C2231" s="906"/>
    </row>
    <row r="2232" spans="3:3" x14ac:dyDescent="0.25">
      <c r="C2232" s="906"/>
    </row>
    <row r="2233" spans="3:3" x14ac:dyDescent="0.25">
      <c r="C2233" s="906"/>
    </row>
    <row r="2234" spans="3:3" x14ac:dyDescent="0.25">
      <c r="C2234" s="906"/>
    </row>
    <row r="2235" spans="3:3" x14ac:dyDescent="0.25">
      <c r="C2235" s="906"/>
    </row>
    <row r="2236" spans="3:3" x14ac:dyDescent="0.25">
      <c r="C2236" s="906"/>
    </row>
    <row r="2237" spans="3:3" x14ac:dyDescent="0.25">
      <c r="C2237" s="906"/>
    </row>
    <row r="2238" spans="3:3" x14ac:dyDescent="0.25">
      <c r="C2238" s="906"/>
    </row>
    <row r="2239" spans="3:3" x14ac:dyDescent="0.25">
      <c r="C2239" s="906"/>
    </row>
    <row r="2240" spans="3:3" x14ac:dyDescent="0.25">
      <c r="C2240" s="906"/>
    </row>
    <row r="2241" spans="3:3" x14ac:dyDescent="0.25">
      <c r="C2241" s="906"/>
    </row>
    <row r="2242" spans="3:3" x14ac:dyDescent="0.25">
      <c r="C2242" s="906"/>
    </row>
    <row r="2243" spans="3:3" x14ac:dyDescent="0.25">
      <c r="C2243" s="906"/>
    </row>
    <row r="2244" spans="3:3" x14ac:dyDescent="0.25">
      <c r="C2244" s="906"/>
    </row>
    <row r="2245" spans="3:3" x14ac:dyDescent="0.25">
      <c r="C2245" s="906"/>
    </row>
    <row r="2246" spans="3:3" x14ac:dyDescent="0.25">
      <c r="C2246" s="906"/>
    </row>
    <row r="2247" spans="3:3" x14ac:dyDescent="0.25">
      <c r="C2247" s="906"/>
    </row>
    <row r="2248" spans="3:3" x14ac:dyDescent="0.25">
      <c r="C2248" s="906"/>
    </row>
    <row r="2249" spans="3:3" x14ac:dyDescent="0.25">
      <c r="C2249" s="906"/>
    </row>
    <row r="2250" spans="3:3" x14ac:dyDescent="0.25">
      <c r="C2250" s="906"/>
    </row>
    <row r="2251" spans="3:3" x14ac:dyDescent="0.25">
      <c r="C2251" s="906"/>
    </row>
    <row r="2252" spans="3:3" x14ac:dyDescent="0.25">
      <c r="C2252" s="906"/>
    </row>
    <row r="2253" spans="3:3" x14ac:dyDescent="0.25">
      <c r="C2253" s="906"/>
    </row>
    <row r="2254" spans="3:3" x14ac:dyDescent="0.25">
      <c r="C2254" s="906"/>
    </row>
    <row r="2255" spans="3:3" x14ac:dyDescent="0.25">
      <c r="C2255" s="906"/>
    </row>
    <row r="2256" spans="3:3" x14ac:dyDescent="0.25">
      <c r="C2256" s="906"/>
    </row>
    <row r="2257" spans="3:3" x14ac:dyDescent="0.25">
      <c r="C2257" s="906"/>
    </row>
    <row r="2258" spans="3:3" x14ac:dyDescent="0.25">
      <c r="C2258" s="906"/>
    </row>
    <row r="2259" spans="3:3" x14ac:dyDescent="0.25">
      <c r="C2259" s="906"/>
    </row>
    <row r="2260" spans="3:3" x14ac:dyDescent="0.25">
      <c r="C2260" s="906"/>
    </row>
    <row r="2261" spans="3:3" x14ac:dyDescent="0.25">
      <c r="C2261" s="906"/>
    </row>
    <row r="2262" spans="3:3" x14ac:dyDescent="0.25">
      <c r="C2262" s="906"/>
    </row>
    <row r="2263" spans="3:3" x14ac:dyDescent="0.25">
      <c r="C2263" s="906"/>
    </row>
    <row r="2264" spans="3:3" x14ac:dyDescent="0.25">
      <c r="C2264" s="906"/>
    </row>
    <row r="2265" spans="3:3" x14ac:dyDescent="0.25">
      <c r="C2265" s="906"/>
    </row>
    <row r="2266" spans="3:3" x14ac:dyDescent="0.25">
      <c r="C2266" s="906"/>
    </row>
    <row r="2267" spans="3:3" x14ac:dyDescent="0.25">
      <c r="C2267" s="906"/>
    </row>
    <row r="2268" spans="3:3" x14ac:dyDescent="0.25">
      <c r="C2268" s="906"/>
    </row>
    <row r="2269" spans="3:3" x14ac:dyDescent="0.25">
      <c r="C2269" s="906"/>
    </row>
    <row r="2270" spans="3:3" x14ac:dyDescent="0.25">
      <c r="C2270" s="906"/>
    </row>
    <row r="2271" spans="3:3" x14ac:dyDescent="0.25">
      <c r="C2271" s="906"/>
    </row>
    <row r="2272" spans="3:3" x14ac:dyDescent="0.25">
      <c r="C2272" s="906"/>
    </row>
    <row r="2273" spans="3:3" x14ac:dyDescent="0.25">
      <c r="C2273" s="906"/>
    </row>
    <row r="2274" spans="3:3" x14ac:dyDescent="0.25">
      <c r="C2274" s="906"/>
    </row>
    <row r="2275" spans="3:3" x14ac:dyDescent="0.25">
      <c r="C2275" s="906"/>
    </row>
    <row r="2276" spans="3:3" x14ac:dyDescent="0.25">
      <c r="C2276" s="906"/>
    </row>
    <row r="2277" spans="3:3" x14ac:dyDescent="0.25">
      <c r="C2277" s="906"/>
    </row>
    <row r="2278" spans="3:3" x14ac:dyDescent="0.25">
      <c r="C2278" s="906"/>
    </row>
    <row r="2279" spans="3:3" x14ac:dyDescent="0.25">
      <c r="C2279" s="906"/>
    </row>
    <row r="2280" spans="3:3" x14ac:dyDescent="0.25">
      <c r="C2280" s="906"/>
    </row>
    <row r="2281" spans="3:3" x14ac:dyDescent="0.25">
      <c r="C2281" s="906"/>
    </row>
    <row r="2282" spans="3:3" x14ac:dyDescent="0.25">
      <c r="C2282" s="906"/>
    </row>
    <row r="2283" spans="3:3" x14ac:dyDescent="0.25">
      <c r="C2283" s="906"/>
    </row>
    <row r="2284" spans="3:3" x14ac:dyDescent="0.25">
      <c r="C2284" s="906"/>
    </row>
    <row r="2285" spans="3:3" x14ac:dyDescent="0.25">
      <c r="C2285" s="906"/>
    </row>
    <row r="2286" spans="3:3" x14ac:dyDescent="0.25">
      <c r="C2286" s="906"/>
    </row>
    <row r="2287" spans="3:3" x14ac:dyDescent="0.25">
      <c r="C2287" s="906"/>
    </row>
    <row r="2288" spans="3:3" x14ac:dyDescent="0.25">
      <c r="C2288" s="906"/>
    </row>
    <row r="2289" spans="3:3" x14ac:dyDescent="0.25">
      <c r="C2289" s="906"/>
    </row>
    <row r="2290" spans="3:3" x14ac:dyDescent="0.25">
      <c r="C2290" s="906"/>
    </row>
    <row r="2291" spans="3:3" x14ac:dyDescent="0.25">
      <c r="C2291" s="906"/>
    </row>
    <row r="2292" spans="3:3" x14ac:dyDescent="0.25">
      <c r="C2292" s="906"/>
    </row>
    <row r="2293" spans="3:3" x14ac:dyDescent="0.25">
      <c r="C2293" s="906"/>
    </row>
    <row r="2294" spans="3:3" x14ac:dyDescent="0.25">
      <c r="C2294" s="906"/>
    </row>
    <row r="2295" spans="3:3" x14ac:dyDescent="0.25">
      <c r="C2295" s="906"/>
    </row>
    <row r="2296" spans="3:3" x14ac:dyDescent="0.25">
      <c r="C2296" s="906"/>
    </row>
    <row r="2297" spans="3:3" x14ac:dyDescent="0.25">
      <c r="C2297" s="906"/>
    </row>
    <row r="2298" spans="3:3" x14ac:dyDescent="0.25">
      <c r="C2298" s="906"/>
    </row>
    <row r="2299" spans="3:3" x14ac:dyDescent="0.25">
      <c r="C2299" s="906"/>
    </row>
    <row r="2300" spans="3:3" x14ac:dyDescent="0.25">
      <c r="C2300" s="906"/>
    </row>
    <row r="2301" spans="3:3" x14ac:dyDescent="0.25">
      <c r="C2301" s="906"/>
    </row>
    <row r="2302" spans="3:3" x14ac:dyDescent="0.25">
      <c r="C2302" s="906"/>
    </row>
    <row r="2303" spans="3:3" x14ac:dyDescent="0.25">
      <c r="C2303" s="906"/>
    </row>
    <row r="2304" spans="3:3" x14ac:dyDescent="0.25">
      <c r="C2304" s="906"/>
    </row>
    <row r="2305" spans="3:3" x14ac:dyDescent="0.25">
      <c r="C2305" s="906"/>
    </row>
    <row r="2306" spans="3:3" x14ac:dyDescent="0.25">
      <c r="C2306" s="906"/>
    </row>
    <row r="2307" spans="3:3" x14ac:dyDescent="0.25">
      <c r="C2307" s="906"/>
    </row>
    <row r="2308" spans="3:3" x14ac:dyDescent="0.25">
      <c r="C2308" s="906"/>
    </row>
    <row r="2309" spans="3:3" x14ac:dyDescent="0.25">
      <c r="C2309" s="906"/>
    </row>
    <row r="2310" spans="3:3" x14ac:dyDescent="0.25">
      <c r="C2310" s="906"/>
    </row>
    <row r="2311" spans="3:3" x14ac:dyDescent="0.25">
      <c r="C2311" s="906"/>
    </row>
    <row r="2312" spans="3:3" x14ac:dyDescent="0.25">
      <c r="C2312" s="906"/>
    </row>
    <row r="2313" spans="3:3" x14ac:dyDescent="0.25">
      <c r="C2313" s="906"/>
    </row>
    <row r="2314" spans="3:3" x14ac:dyDescent="0.25">
      <c r="C2314" s="906"/>
    </row>
    <row r="2315" spans="3:3" x14ac:dyDescent="0.25">
      <c r="C2315" s="906"/>
    </row>
    <row r="2316" spans="3:3" x14ac:dyDescent="0.25">
      <c r="C2316" s="906"/>
    </row>
    <row r="2317" spans="3:3" x14ac:dyDescent="0.25">
      <c r="C2317" s="906"/>
    </row>
    <row r="2318" spans="3:3" x14ac:dyDescent="0.25">
      <c r="C2318" s="906"/>
    </row>
    <row r="2319" spans="3:3" x14ac:dyDescent="0.25">
      <c r="C2319" s="906"/>
    </row>
    <row r="2320" spans="3:3" x14ac:dyDescent="0.25">
      <c r="C2320" s="906"/>
    </row>
    <row r="2321" spans="3:3" x14ac:dyDescent="0.25">
      <c r="C2321" s="906"/>
    </row>
    <row r="2322" spans="3:3" x14ac:dyDescent="0.25">
      <c r="C2322" s="906"/>
    </row>
    <row r="2323" spans="3:3" x14ac:dyDescent="0.25">
      <c r="C2323" s="906"/>
    </row>
    <row r="2324" spans="3:3" x14ac:dyDescent="0.25">
      <c r="C2324" s="906"/>
    </row>
    <row r="2325" spans="3:3" x14ac:dyDescent="0.25">
      <c r="C2325" s="906"/>
    </row>
    <row r="2326" spans="3:3" x14ac:dyDescent="0.25">
      <c r="C2326" s="906"/>
    </row>
    <row r="2327" spans="3:3" x14ac:dyDescent="0.25">
      <c r="C2327" s="906"/>
    </row>
    <row r="2328" spans="3:3" x14ac:dyDescent="0.25">
      <c r="C2328" s="906"/>
    </row>
    <row r="2329" spans="3:3" x14ac:dyDescent="0.25">
      <c r="C2329" s="906"/>
    </row>
    <row r="2330" spans="3:3" x14ac:dyDescent="0.25">
      <c r="C2330" s="906"/>
    </row>
    <row r="2331" spans="3:3" x14ac:dyDescent="0.25">
      <c r="C2331" s="906"/>
    </row>
    <row r="2332" spans="3:3" x14ac:dyDescent="0.25">
      <c r="C2332" s="906"/>
    </row>
    <row r="2333" spans="3:3" x14ac:dyDescent="0.25">
      <c r="C2333" s="906"/>
    </row>
    <row r="2334" spans="3:3" x14ac:dyDescent="0.25">
      <c r="C2334" s="906"/>
    </row>
    <row r="2335" spans="3:3" x14ac:dyDescent="0.25">
      <c r="C2335" s="906"/>
    </row>
    <row r="2336" spans="3:3" x14ac:dyDescent="0.25">
      <c r="C2336" s="906"/>
    </row>
    <row r="2337" spans="3:3" x14ac:dyDescent="0.25">
      <c r="C2337" s="906"/>
    </row>
    <row r="2338" spans="3:3" x14ac:dyDescent="0.25">
      <c r="C2338" s="906"/>
    </row>
    <row r="2339" spans="3:3" x14ac:dyDescent="0.25">
      <c r="C2339" s="906"/>
    </row>
    <row r="2340" spans="3:3" x14ac:dyDescent="0.25">
      <c r="C2340" s="906"/>
    </row>
    <row r="2341" spans="3:3" x14ac:dyDescent="0.25">
      <c r="C2341" s="906"/>
    </row>
    <row r="2342" spans="3:3" x14ac:dyDescent="0.25">
      <c r="C2342" s="906"/>
    </row>
    <row r="2343" spans="3:3" x14ac:dyDescent="0.25">
      <c r="C2343" s="906"/>
    </row>
    <row r="2344" spans="3:3" x14ac:dyDescent="0.25">
      <c r="C2344" s="906"/>
    </row>
    <row r="2345" spans="3:3" x14ac:dyDescent="0.25">
      <c r="C2345" s="906"/>
    </row>
    <row r="2346" spans="3:3" x14ac:dyDescent="0.25">
      <c r="C2346" s="906"/>
    </row>
    <row r="2347" spans="3:3" x14ac:dyDescent="0.25">
      <c r="C2347" s="906"/>
    </row>
    <row r="2348" spans="3:3" x14ac:dyDescent="0.25">
      <c r="C2348" s="906"/>
    </row>
    <row r="2349" spans="3:3" x14ac:dyDescent="0.25">
      <c r="C2349" s="906"/>
    </row>
    <row r="2350" spans="3:3" x14ac:dyDescent="0.25">
      <c r="C2350" s="906"/>
    </row>
    <row r="2351" spans="3:3" x14ac:dyDescent="0.25">
      <c r="C2351" s="906"/>
    </row>
    <row r="2352" spans="3:3" x14ac:dyDescent="0.25">
      <c r="C2352" s="906"/>
    </row>
    <row r="2353" spans="3:3" x14ac:dyDescent="0.25">
      <c r="C2353" s="906"/>
    </row>
    <row r="2354" spans="3:3" x14ac:dyDescent="0.25">
      <c r="C2354" s="906"/>
    </row>
    <row r="2355" spans="3:3" x14ac:dyDescent="0.25">
      <c r="C2355" s="906"/>
    </row>
    <row r="2356" spans="3:3" x14ac:dyDescent="0.25">
      <c r="C2356" s="906"/>
    </row>
    <row r="2357" spans="3:3" x14ac:dyDescent="0.25">
      <c r="C2357" s="906"/>
    </row>
    <row r="2358" spans="3:3" x14ac:dyDescent="0.25">
      <c r="C2358" s="906"/>
    </row>
    <row r="2359" spans="3:3" x14ac:dyDescent="0.25">
      <c r="C2359" s="906"/>
    </row>
    <row r="2360" spans="3:3" x14ac:dyDescent="0.25">
      <c r="C2360" s="906"/>
    </row>
    <row r="2361" spans="3:3" x14ac:dyDescent="0.25">
      <c r="C2361" s="906"/>
    </row>
    <row r="2362" spans="3:3" x14ac:dyDescent="0.25">
      <c r="C2362" s="906"/>
    </row>
    <row r="2363" spans="3:3" x14ac:dyDescent="0.25">
      <c r="C2363" s="906"/>
    </row>
    <row r="2364" spans="3:3" x14ac:dyDescent="0.25">
      <c r="C2364" s="906"/>
    </row>
    <row r="2365" spans="3:3" x14ac:dyDescent="0.25">
      <c r="C2365" s="906"/>
    </row>
    <row r="2366" spans="3:3" x14ac:dyDescent="0.25">
      <c r="C2366" s="906"/>
    </row>
    <row r="2367" spans="3:3" x14ac:dyDescent="0.25">
      <c r="C2367" s="906"/>
    </row>
    <row r="2368" spans="3:3" x14ac:dyDescent="0.25">
      <c r="C2368" s="906"/>
    </row>
    <row r="2369" spans="3:3" x14ac:dyDescent="0.25">
      <c r="C2369" s="906"/>
    </row>
    <row r="2370" spans="3:3" x14ac:dyDescent="0.25">
      <c r="C2370" s="906"/>
    </row>
    <row r="2371" spans="3:3" x14ac:dyDescent="0.25">
      <c r="C2371" s="906"/>
    </row>
    <row r="2372" spans="3:3" x14ac:dyDescent="0.25">
      <c r="C2372" s="906"/>
    </row>
    <row r="2373" spans="3:3" x14ac:dyDescent="0.25">
      <c r="C2373" s="906"/>
    </row>
    <row r="2374" spans="3:3" x14ac:dyDescent="0.25">
      <c r="C2374" s="906"/>
    </row>
    <row r="2375" spans="3:3" x14ac:dyDescent="0.25">
      <c r="C2375" s="906"/>
    </row>
    <row r="2376" spans="3:3" x14ac:dyDescent="0.25">
      <c r="C2376" s="906"/>
    </row>
    <row r="2377" spans="3:3" x14ac:dyDescent="0.25">
      <c r="C2377" s="906"/>
    </row>
    <row r="2378" spans="3:3" x14ac:dyDescent="0.25">
      <c r="C2378" s="906"/>
    </row>
    <row r="2379" spans="3:3" x14ac:dyDescent="0.25">
      <c r="C2379" s="906"/>
    </row>
    <row r="2380" spans="3:3" x14ac:dyDescent="0.25">
      <c r="C2380" s="906"/>
    </row>
    <row r="2381" spans="3:3" x14ac:dyDescent="0.25">
      <c r="C2381" s="906"/>
    </row>
    <row r="2382" spans="3:3" x14ac:dyDescent="0.25">
      <c r="C2382" s="906"/>
    </row>
    <row r="2383" spans="3:3" x14ac:dyDescent="0.25">
      <c r="C2383" s="906"/>
    </row>
    <row r="2384" spans="3:3" x14ac:dyDescent="0.25">
      <c r="C2384" s="906"/>
    </row>
    <row r="2385" spans="3:3" x14ac:dyDescent="0.25">
      <c r="C2385" s="906"/>
    </row>
    <row r="2386" spans="3:3" x14ac:dyDescent="0.25">
      <c r="C2386" s="906"/>
    </row>
    <row r="2387" spans="3:3" x14ac:dyDescent="0.25">
      <c r="C2387" s="906"/>
    </row>
    <row r="2388" spans="3:3" x14ac:dyDescent="0.25">
      <c r="C2388" s="906"/>
    </row>
    <row r="2389" spans="3:3" x14ac:dyDescent="0.25">
      <c r="C2389" s="906"/>
    </row>
    <row r="2390" spans="3:3" x14ac:dyDescent="0.25">
      <c r="C2390" s="906"/>
    </row>
    <row r="2391" spans="3:3" x14ac:dyDescent="0.25">
      <c r="C2391" s="906"/>
    </row>
    <row r="2392" spans="3:3" x14ac:dyDescent="0.25">
      <c r="C2392" s="906"/>
    </row>
    <row r="2393" spans="3:3" x14ac:dyDescent="0.25">
      <c r="C2393" s="906"/>
    </row>
    <row r="2394" spans="3:3" x14ac:dyDescent="0.25">
      <c r="C2394" s="906"/>
    </row>
    <row r="2395" spans="3:3" x14ac:dyDescent="0.25">
      <c r="C2395" s="906"/>
    </row>
    <row r="2396" spans="3:3" x14ac:dyDescent="0.25">
      <c r="C2396" s="906"/>
    </row>
    <row r="2397" spans="3:3" x14ac:dyDescent="0.25">
      <c r="C2397" s="906"/>
    </row>
    <row r="2398" spans="3:3" x14ac:dyDescent="0.25">
      <c r="C2398" s="906"/>
    </row>
    <row r="2399" spans="3:3" x14ac:dyDescent="0.25">
      <c r="C2399" s="906"/>
    </row>
    <row r="2400" spans="3:3" x14ac:dyDescent="0.25">
      <c r="C2400" s="906"/>
    </row>
    <row r="2401" spans="3:3" x14ac:dyDescent="0.25">
      <c r="C2401" s="906"/>
    </row>
    <row r="2402" spans="3:3" x14ac:dyDescent="0.25">
      <c r="C2402" s="906"/>
    </row>
    <row r="2403" spans="3:3" x14ac:dyDescent="0.25">
      <c r="C2403" s="906"/>
    </row>
    <row r="2404" spans="3:3" x14ac:dyDescent="0.25">
      <c r="C2404" s="906"/>
    </row>
    <row r="2405" spans="3:3" x14ac:dyDescent="0.25">
      <c r="C2405" s="906"/>
    </row>
    <row r="2406" spans="3:3" x14ac:dyDescent="0.25">
      <c r="C2406" s="906"/>
    </row>
    <row r="2407" spans="3:3" x14ac:dyDescent="0.25">
      <c r="C2407" s="906"/>
    </row>
    <row r="2408" spans="3:3" x14ac:dyDescent="0.25">
      <c r="C2408" s="906"/>
    </row>
    <row r="2409" spans="3:3" x14ac:dyDescent="0.25">
      <c r="C2409" s="906"/>
    </row>
    <row r="2410" spans="3:3" x14ac:dyDescent="0.25">
      <c r="C2410" s="906"/>
    </row>
    <row r="2411" spans="3:3" x14ac:dyDescent="0.25">
      <c r="C2411" s="906"/>
    </row>
    <row r="2412" spans="3:3" x14ac:dyDescent="0.25">
      <c r="C2412" s="906"/>
    </row>
    <row r="2413" spans="3:3" x14ac:dyDescent="0.25">
      <c r="C2413" s="906"/>
    </row>
    <row r="2414" spans="3:3" x14ac:dyDescent="0.25">
      <c r="C2414" s="906"/>
    </row>
    <row r="2415" spans="3:3" x14ac:dyDescent="0.25">
      <c r="C2415" s="906"/>
    </row>
    <row r="2416" spans="3:3" x14ac:dyDescent="0.25">
      <c r="C2416" s="906"/>
    </row>
    <row r="2417" spans="3:3" x14ac:dyDescent="0.25">
      <c r="C2417" s="906"/>
    </row>
    <row r="2418" spans="3:3" x14ac:dyDescent="0.25">
      <c r="C2418" s="906"/>
    </row>
    <row r="2419" spans="3:3" x14ac:dyDescent="0.25">
      <c r="C2419" s="906"/>
    </row>
    <row r="2420" spans="3:3" x14ac:dyDescent="0.25">
      <c r="C2420" s="906"/>
    </row>
    <row r="2421" spans="3:3" x14ac:dyDescent="0.25">
      <c r="C2421" s="906"/>
    </row>
    <row r="2422" spans="3:3" x14ac:dyDescent="0.25">
      <c r="C2422" s="906"/>
    </row>
    <row r="2423" spans="3:3" x14ac:dyDescent="0.25">
      <c r="C2423" s="906"/>
    </row>
    <row r="2424" spans="3:3" x14ac:dyDescent="0.25">
      <c r="C2424" s="906"/>
    </row>
    <row r="2425" spans="3:3" x14ac:dyDescent="0.25">
      <c r="C2425" s="906"/>
    </row>
    <row r="2426" spans="3:3" x14ac:dyDescent="0.25">
      <c r="C2426" s="906"/>
    </row>
    <row r="2427" spans="3:3" x14ac:dyDescent="0.25">
      <c r="C2427" s="906"/>
    </row>
    <row r="2428" spans="3:3" x14ac:dyDescent="0.25">
      <c r="C2428" s="906"/>
    </row>
    <row r="2429" spans="3:3" x14ac:dyDescent="0.25">
      <c r="C2429" s="906"/>
    </row>
    <row r="2430" spans="3:3" x14ac:dyDescent="0.25">
      <c r="C2430" s="906"/>
    </row>
    <row r="2431" spans="3:3" x14ac:dyDescent="0.25">
      <c r="C2431" s="906"/>
    </row>
    <row r="2432" spans="3:3" x14ac:dyDescent="0.25">
      <c r="C2432" s="906"/>
    </row>
    <row r="2433" spans="3:3" x14ac:dyDescent="0.25">
      <c r="C2433" s="906"/>
    </row>
    <row r="2434" spans="3:3" x14ac:dyDescent="0.25">
      <c r="C2434" s="906"/>
    </row>
    <row r="2435" spans="3:3" x14ac:dyDescent="0.25">
      <c r="C2435" s="906"/>
    </row>
    <row r="2436" spans="3:3" x14ac:dyDescent="0.25">
      <c r="C2436" s="906"/>
    </row>
    <row r="2437" spans="3:3" x14ac:dyDescent="0.25">
      <c r="C2437" s="906"/>
    </row>
    <row r="2438" spans="3:3" x14ac:dyDescent="0.25">
      <c r="C2438" s="906"/>
    </row>
    <row r="2439" spans="3:3" x14ac:dyDescent="0.25">
      <c r="C2439" s="906"/>
    </row>
    <row r="2440" spans="3:3" x14ac:dyDescent="0.25">
      <c r="C2440" s="906"/>
    </row>
    <row r="2441" spans="3:3" x14ac:dyDescent="0.25">
      <c r="C2441" s="906"/>
    </row>
    <row r="2442" spans="3:3" x14ac:dyDescent="0.25">
      <c r="C2442" s="906"/>
    </row>
    <row r="2443" spans="3:3" x14ac:dyDescent="0.25">
      <c r="C2443" s="906"/>
    </row>
    <row r="2444" spans="3:3" x14ac:dyDescent="0.25">
      <c r="C2444" s="906"/>
    </row>
    <row r="2445" spans="3:3" x14ac:dyDescent="0.25">
      <c r="C2445" s="906"/>
    </row>
    <row r="2446" spans="3:3" x14ac:dyDescent="0.25">
      <c r="C2446" s="906"/>
    </row>
    <row r="2447" spans="3:3" x14ac:dyDescent="0.25">
      <c r="C2447" s="906"/>
    </row>
    <row r="2448" spans="3:3" x14ac:dyDescent="0.25">
      <c r="C2448" s="906"/>
    </row>
    <row r="2449" spans="3:3" x14ac:dyDescent="0.25">
      <c r="C2449" s="906"/>
    </row>
    <row r="2450" spans="3:3" x14ac:dyDescent="0.25">
      <c r="C2450" s="906"/>
    </row>
    <row r="2451" spans="3:3" x14ac:dyDescent="0.25">
      <c r="C2451" s="906"/>
    </row>
    <row r="2452" spans="3:3" x14ac:dyDescent="0.25">
      <c r="C2452" s="906"/>
    </row>
    <row r="2453" spans="3:3" x14ac:dyDescent="0.25">
      <c r="C2453" s="906"/>
    </row>
    <row r="2454" spans="3:3" x14ac:dyDescent="0.25">
      <c r="C2454" s="906"/>
    </row>
    <row r="2455" spans="3:3" x14ac:dyDescent="0.25">
      <c r="C2455" s="906"/>
    </row>
    <row r="2456" spans="3:3" x14ac:dyDescent="0.25">
      <c r="C2456" s="906"/>
    </row>
    <row r="2457" spans="3:3" x14ac:dyDescent="0.25">
      <c r="C2457" s="906"/>
    </row>
    <row r="2458" spans="3:3" x14ac:dyDescent="0.25">
      <c r="C2458" s="906"/>
    </row>
    <row r="2459" spans="3:3" x14ac:dyDescent="0.25">
      <c r="C2459" s="906"/>
    </row>
    <row r="2460" spans="3:3" x14ac:dyDescent="0.25">
      <c r="C2460" s="906"/>
    </row>
    <row r="2461" spans="3:3" x14ac:dyDescent="0.25">
      <c r="C2461" s="906"/>
    </row>
    <row r="2462" spans="3:3" x14ac:dyDescent="0.25">
      <c r="C2462" s="906"/>
    </row>
    <row r="2463" spans="3:3" x14ac:dyDescent="0.25">
      <c r="C2463" s="906"/>
    </row>
    <row r="2464" spans="3:3" x14ac:dyDescent="0.25">
      <c r="C2464" s="906"/>
    </row>
    <row r="2465" spans="3:3" x14ac:dyDescent="0.25">
      <c r="C2465" s="906"/>
    </row>
    <row r="2466" spans="3:3" x14ac:dyDescent="0.25">
      <c r="C2466" s="906"/>
    </row>
    <row r="2467" spans="3:3" x14ac:dyDescent="0.25">
      <c r="C2467" s="906"/>
    </row>
    <row r="2468" spans="3:3" x14ac:dyDescent="0.25">
      <c r="C2468" s="906"/>
    </row>
    <row r="2469" spans="3:3" x14ac:dyDescent="0.25">
      <c r="C2469" s="906"/>
    </row>
    <row r="2470" spans="3:3" x14ac:dyDescent="0.25">
      <c r="C2470" s="906"/>
    </row>
    <row r="2471" spans="3:3" x14ac:dyDescent="0.25">
      <c r="C2471" s="906"/>
    </row>
    <row r="2472" spans="3:3" x14ac:dyDescent="0.25">
      <c r="C2472" s="906"/>
    </row>
    <row r="2473" spans="3:3" x14ac:dyDescent="0.25">
      <c r="C2473" s="906"/>
    </row>
    <row r="2474" spans="3:3" x14ac:dyDescent="0.25">
      <c r="C2474" s="906"/>
    </row>
    <row r="2475" spans="3:3" x14ac:dyDescent="0.25">
      <c r="C2475" s="906"/>
    </row>
    <row r="2476" spans="3:3" x14ac:dyDescent="0.25">
      <c r="C2476" s="906"/>
    </row>
    <row r="2477" spans="3:3" x14ac:dyDescent="0.25">
      <c r="C2477" s="906"/>
    </row>
    <row r="2478" spans="3:3" x14ac:dyDescent="0.25">
      <c r="C2478" s="906"/>
    </row>
    <row r="2479" spans="3:3" x14ac:dyDescent="0.25">
      <c r="C2479" s="906"/>
    </row>
    <row r="2480" spans="3:3" x14ac:dyDescent="0.25">
      <c r="C2480" s="906"/>
    </row>
    <row r="2481" spans="3:3" x14ac:dyDescent="0.25">
      <c r="C2481" s="906"/>
    </row>
    <row r="2482" spans="3:3" x14ac:dyDescent="0.25">
      <c r="C2482" s="906"/>
    </row>
    <row r="2483" spans="3:3" x14ac:dyDescent="0.25">
      <c r="C2483" s="906"/>
    </row>
    <row r="2484" spans="3:3" x14ac:dyDescent="0.25">
      <c r="C2484" s="906"/>
    </row>
    <row r="2485" spans="3:3" x14ac:dyDescent="0.25">
      <c r="C2485" s="906"/>
    </row>
    <row r="2486" spans="3:3" x14ac:dyDescent="0.25">
      <c r="C2486" s="906"/>
    </row>
    <row r="2487" spans="3:3" x14ac:dyDescent="0.25">
      <c r="C2487" s="906"/>
    </row>
    <row r="2488" spans="3:3" x14ac:dyDescent="0.25">
      <c r="C2488" s="906"/>
    </row>
    <row r="2489" spans="3:3" x14ac:dyDescent="0.25">
      <c r="C2489" s="906"/>
    </row>
    <row r="2490" spans="3:3" x14ac:dyDescent="0.25">
      <c r="C2490" s="906"/>
    </row>
    <row r="2491" spans="3:3" x14ac:dyDescent="0.25">
      <c r="C2491" s="906"/>
    </row>
    <row r="2492" spans="3:3" x14ac:dyDescent="0.25">
      <c r="C2492" s="906"/>
    </row>
    <row r="2493" spans="3:3" x14ac:dyDescent="0.25">
      <c r="C2493" s="906"/>
    </row>
    <row r="2494" spans="3:3" x14ac:dyDescent="0.25">
      <c r="C2494" s="906"/>
    </row>
    <row r="2495" spans="3:3" x14ac:dyDescent="0.25">
      <c r="C2495" s="906"/>
    </row>
    <row r="2496" spans="3:3" x14ac:dyDescent="0.25">
      <c r="C2496" s="906"/>
    </row>
    <row r="2497" spans="3:3" x14ac:dyDescent="0.25">
      <c r="C2497" s="906"/>
    </row>
    <row r="2498" spans="3:3" x14ac:dyDescent="0.25">
      <c r="C2498" s="906"/>
    </row>
    <row r="2499" spans="3:3" x14ac:dyDescent="0.25">
      <c r="C2499" s="906"/>
    </row>
    <row r="2500" spans="3:3" x14ac:dyDescent="0.25">
      <c r="C2500" s="906"/>
    </row>
    <row r="2501" spans="3:3" x14ac:dyDescent="0.25">
      <c r="C2501" s="906"/>
    </row>
    <row r="2502" spans="3:3" x14ac:dyDescent="0.25">
      <c r="C2502" s="906"/>
    </row>
    <row r="2503" spans="3:3" x14ac:dyDescent="0.25">
      <c r="C2503" s="906"/>
    </row>
    <row r="2504" spans="3:3" x14ac:dyDescent="0.25">
      <c r="C2504" s="906"/>
    </row>
    <row r="2505" spans="3:3" x14ac:dyDescent="0.25">
      <c r="C2505" s="906"/>
    </row>
    <row r="2506" spans="3:3" x14ac:dyDescent="0.25">
      <c r="C2506" s="906"/>
    </row>
    <row r="2507" spans="3:3" x14ac:dyDescent="0.25">
      <c r="C2507" s="906"/>
    </row>
    <row r="2508" spans="3:3" x14ac:dyDescent="0.25">
      <c r="C2508" s="906"/>
    </row>
    <row r="2509" spans="3:3" x14ac:dyDescent="0.25">
      <c r="C2509" s="906"/>
    </row>
    <row r="2510" spans="3:3" x14ac:dyDescent="0.25">
      <c r="C2510" s="906"/>
    </row>
    <row r="2511" spans="3:3" x14ac:dyDescent="0.25">
      <c r="C2511" s="906"/>
    </row>
    <row r="2512" spans="3:3" x14ac:dyDescent="0.25">
      <c r="C2512" s="906"/>
    </row>
    <row r="2513" spans="3:3" x14ac:dyDescent="0.25">
      <c r="C2513" s="906"/>
    </row>
    <row r="2514" spans="3:3" x14ac:dyDescent="0.25">
      <c r="C2514" s="906"/>
    </row>
    <row r="2515" spans="3:3" x14ac:dyDescent="0.25">
      <c r="C2515" s="906"/>
    </row>
    <row r="2516" spans="3:3" x14ac:dyDescent="0.25">
      <c r="C2516" s="906"/>
    </row>
    <row r="2517" spans="3:3" x14ac:dyDescent="0.25">
      <c r="C2517" s="906"/>
    </row>
    <row r="2518" spans="3:3" x14ac:dyDescent="0.25">
      <c r="C2518" s="906"/>
    </row>
    <row r="2519" spans="3:3" x14ac:dyDescent="0.25">
      <c r="C2519" s="906"/>
    </row>
    <row r="2520" spans="3:3" x14ac:dyDescent="0.25">
      <c r="C2520" s="906"/>
    </row>
    <row r="2521" spans="3:3" x14ac:dyDescent="0.25">
      <c r="C2521" s="906"/>
    </row>
    <row r="2522" spans="3:3" x14ac:dyDescent="0.25">
      <c r="C2522" s="906"/>
    </row>
    <row r="2523" spans="3:3" x14ac:dyDescent="0.25">
      <c r="C2523" s="906"/>
    </row>
    <row r="2524" spans="3:3" x14ac:dyDescent="0.25">
      <c r="C2524" s="906"/>
    </row>
    <row r="2525" spans="3:3" x14ac:dyDescent="0.25">
      <c r="C2525" s="906"/>
    </row>
    <row r="2526" spans="3:3" x14ac:dyDescent="0.25">
      <c r="C2526" s="906"/>
    </row>
    <row r="2527" spans="3:3" x14ac:dyDescent="0.25">
      <c r="C2527" s="906"/>
    </row>
    <row r="2528" spans="3:3" x14ac:dyDescent="0.25">
      <c r="C2528" s="906"/>
    </row>
    <row r="2529" spans="3:3" x14ac:dyDescent="0.25">
      <c r="C2529" s="906"/>
    </row>
    <row r="2530" spans="3:3" x14ac:dyDescent="0.25">
      <c r="C2530" s="906"/>
    </row>
    <row r="2531" spans="3:3" x14ac:dyDescent="0.25">
      <c r="C2531" s="906"/>
    </row>
    <row r="2532" spans="3:3" x14ac:dyDescent="0.25">
      <c r="C2532" s="906"/>
    </row>
    <row r="2533" spans="3:3" x14ac:dyDescent="0.25">
      <c r="C2533" s="906"/>
    </row>
    <row r="2534" spans="3:3" x14ac:dyDescent="0.25">
      <c r="C2534" s="906"/>
    </row>
    <row r="2535" spans="3:3" x14ac:dyDescent="0.25">
      <c r="C2535" s="906"/>
    </row>
    <row r="2536" spans="3:3" x14ac:dyDescent="0.25">
      <c r="C2536" s="906"/>
    </row>
    <row r="2537" spans="3:3" x14ac:dyDescent="0.25">
      <c r="C2537" s="906"/>
    </row>
    <row r="2538" spans="3:3" x14ac:dyDescent="0.25">
      <c r="C2538" s="906"/>
    </row>
    <row r="2539" spans="3:3" x14ac:dyDescent="0.25">
      <c r="C2539" s="906"/>
    </row>
    <row r="2540" spans="3:3" x14ac:dyDescent="0.25">
      <c r="C2540" s="906"/>
    </row>
    <row r="2541" spans="3:3" x14ac:dyDescent="0.25">
      <c r="C2541" s="906"/>
    </row>
    <row r="2542" spans="3:3" x14ac:dyDescent="0.25">
      <c r="C2542" s="906"/>
    </row>
    <row r="2543" spans="3:3" x14ac:dyDescent="0.25">
      <c r="C2543" s="906"/>
    </row>
    <row r="2544" spans="3:3" x14ac:dyDescent="0.25">
      <c r="C2544" s="906"/>
    </row>
    <row r="2545" spans="3:3" x14ac:dyDescent="0.25">
      <c r="C2545" s="906"/>
    </row>
    <row r="2546" spans="3:3" x14ac:dyDescent="0.25">
      <c r="C2546" s="906"/>
    </row>
    <row r="2547" spans="3:3" x14ac:dyDescent="0.25">
      <c r="C2547" s="906"/>
    </row>
    <row r="2548" spans="3:3" x14ac:dyDescent="0.25">
      <c r="C2548" s="906"/>
    </row>
    <row r="2549" spans="3:3" x14ac:dyDescent="0.25">
      <c r="C2549" s="906"/>
    </row>
    <row r="2550" spans="3:3" x14ac:dyDescent="0.25">
      <c r="C2550" s="906"/>
    </row>
    <row r="2551" spans="3:3" x14ac:dyDescent="0.25">
      <c r="C2551" s="906"/>
    </row>
    <row r="2552" spans="3:3" x14ac:dyDescent="0.25">
      <c r="C2552" s="906"/>
    </row>
    <row r="2553" spans="3:3" x14ac:dyDescent="0.25">
      <c r="C2553" s="906"/>
    </row>
    <row r="2554" spans="3:3" x14ac:dyDescent="0.25">
      <c r="C2554" s="906"/>
    </row>
    <row r="2555" spans="3:3" x14ac:dyDescent="0.25">
      <c r="C2555" s="906"/>
    </row>
    <row r="2556" spans="3:3" x14ac:dyDescent="0.25">
      <c r="C2556" s="906"/>
    </row>
    <row r="2557" spans="3:3" x14ac:dyDescent="0.25">
      <c r="C2557" s="906"/>
    </row>
    <row r="2558" spans="3:3" x14ac:dyDescent="0.25">
      <c r="C2558" s="906"/>
    </row>
    <row r="2559" spans="3:3" x14ac:dyDescent="0.25">
      <c r="C2559" s="906"/>
    </row>
    <row r="2560" spans="3:3" x14ac:dyDescent="0.25">
      <c r="C2560" s="906"/>
    </row>
    <row r="2561" spans="3:3" x14ac:dyDescent="0.25">
      <c r="C2561" s="906"/>
    </row>
    <row r="2562" spans="3:3" x14ac:dyDescent="0.25">
      <c r="C2562" s="906"/>
    </row>
    <row r="2563" spans="3:3" x14ac:dyDescent="0.25">
      <c r="C2563" s="906"/>
    </row>
    <row r="2564" spans="3:3" x14ac:dyDescent="0.25">
      <c r="C2564" s="906"/>
    </row>
    <row r="2565" spans="3:3" x14ac:dyDescent="0.25">
      <c r="C2565" s="906"/>
    </row>
    <row r="2566" spans="3:3" x14ac:dyDescent="0.25">
      <c r="C2566" s="906"/>
    </row>
    <row r="2567" spans="3:3" x14ac:dyDescent="0.25">
      <c r="C2567" s="906"/>
    </row>
    <row r="2568" spans="3:3" x14ac:dyDescent="0.25">
      <c r="C2568" s="906"/>
    </row>
    <row r="2569" spans="3:3" x14ac:dyDescent="0.25">
      <c r="C2569" s="906"/>
    </row>
    <row r="2570" spans="3:3" x14ac:dyDescent="0.25">
      <c r="C2570" s="906"/>
    </row>
    <row r="2571" spans="3:3" x14ac:dyDescent="0.25">
      <c r="C2571" s="906"/>
    </row>
    <row r="2572" spans="3:3" x14ac:dyDescent="0.25">
      <c r="C2572" s="906"/>
    </row>
    <row r="2573" spans="3:3" x14ac:dyDescent="0.25">
      <c r="C2573" s="906"/>
    </row>
    <row r="2574" spans="3:3" x14ac:dyDescent="0.25">
      <c r="C2574" s="906"/>
    </row>
    <row r="2575" spans="3:3" x14ac:dyDescent="0.25">
      <c r="C2575" s="906"/>
    </row>
    <row r="2576" spans="3:3" x14ac:dyDescent="0.25">
      <c r="C2576" s="906"/>
    </row>
    <row r="2577" spans="3:3" x14ac:dyDescent="0.25">
      <c r="C2577" s="906"/>
    </row>
    <row r="2578" spans="3:3" x14ac:dyDescent="0.25">
      <c r="C2578" s="906"/>
    </row>
    <row r="2579" spans="3:3" x14ac:dyDescent="0.25">
      <c r="C2579" s="906"/>
    </row>
    <row r="2580" spans="3:3" x14ac:dyDescent="0.25">
      <c r="C2580" s="906"/>
    </row>
    <row r="2581" spans="3:3" x14ac:dyDescent="0.25">
      <c r="C2581" s="906"/>
    </row>
    <row r="2582" spans="3:3" x14ac:dyDescent="0.25">
      <c r="C2582" s="906"/>
    </row>
    <row r="2583" spans="3:3" x14ac:dyDescent="0.25">
      <c r="C2583" s="906"/>
    </row>
    <row r="2584" spans="3:3" x14ac:dyDescent="0.25">
      <c r="C2584" s="906"/>
    </row>
    <row r="2585" spans="3:3" x14ac:dyDescent="0.25">
      <c r="C2585" s="906"/>
    </row>
    <row r="2586" spans="3:3" x14ac:dyDescent="0.25">
      <c r="C2586" s="906"/>
    </row>
    <row r="2587" spans="3:3" x14ac:dyDescent="0.25">
      <c r="C2587" s="906"/>
    </row>
    <row r="2588" spans="3:3" x14ac:dyDescent="0.25">
      <c r="C2588" s="906"/>
    </row>
    <row r="2589" spans="3:3" x14ac:dyDescent="0.25">
      <c r="C2589" s="906"/>
    </row>
    <row r="2590" spans="3:3" x14ac:dyDescent="0.25">
      <c r="C2590" s="906"/>
    </row>
    <row r="2591" spans="3:3" x14ac:dyDescent="0.25">
      <c r="C2591" s="906"/>
    </row>
    <row r="2592" spans="3:3" x14ac:dyDescent="0.25">
      <c r="C2592" s="906"/>
    </row>
    <row r="2593" spans="3:3" x14ac:dyDescent="0.25">
      <c r="C2593" s="906"/>
    </row>
    <row r="2594" spans="3:3" x14ac:dyDescent="0.25">
      <c r="C2594" s="906"/>
    </row>
    <row r="2595" spans="3:3" x14ac:dyDescent="0.25">
      <c r="C2595" s="906"/>
    </row>
    <row r="2596" spans="3:3" x14ac:dyDescent="0.25">
      <c r="C2596" s="906"/>
    </row>
    <row r="2597" spans="3:3" x14ac:dyDescent="0.25">
      <c r="C2597" s="906"/>
    </row>
    <row r="2598" spans="3:3" x14ac:dyDescent="0.25">
      <c r="C2598" s="906"/>
    </row>
    <row r="2599" spans="3:3" x14ac:dyDescent="0.25">
      <c r="C2599" s="906"/>
    </row>
    <row r="2600" spans="3:3" x14ac:dyDescent="0.25">
      <c r="C2600" s="906"/>
    </row>
    <row r="2601" spans="3:3" x14ac:dyDescent="0.25">
      <c r="C2601" s="906"/>
    </row>
    <row r="2602" spans="3:3" x14ac:dyDescent="0.25">
      <c r="C2602" s="906"/>
    </row>
    <row r="2603" spans="3:3" x14ac:dyDescent="0.25">
      <c r="C2603" s="906"/>
    </row>
    <row r="2604" spans="3:3" x14ac:dyDescent="0.25">
      <c r="C2604" s="906"/>
    </row>
    <row r="2605" spans="3:3" x14ac:dyDescent="0.25">
      <c r="C2605" s="906"/>
    </row>
    <row r="2606" spans="3:3" x14ac:dyDescent="0.25">
      <c r="C2606" s="906"/>
    </row>
    <row r="2607" spans="3:3" x14ac:dyDescent="0.25">
      <c r="C2607" s="906"/>
    </row>
    <row r="2608" spans="3:3" x14ac:dyDescent="0.25">
      <c r="C2608" s="906"/>
    </row>
    <row r="2609" spans="3:3" x14ac:dyDescent="0.25">
      <c r="C2609" s="906"/>
    </row>
    <row r="2610" spans="3:3" x14ac:dyDescent="0.25">
      <c r="C2610" s="906"/>
    </row>
    <row r="2611" spans="3:3" x14ac:dyDescent="0.25">
      <c r="C2611" s="906"/>
    </row>
    <row r="2612" spans="3:3" x14ac:dyDescent="0.25">
      <c r="C2612" s="906"/>
    </row>
    <row r="2613" spans="3:3" x14ac:dyDescent="0.25">
      <c r="C2613" s="906"/>
    </row>
    <row r="2614" spans="3:3" x14ac:dyDescent="0.25">
      <c r="C2614" s="906"/>
    </row>
    <row r="2615" spans="3:3" x14ac:dyDescent="0.25">
      <c r="C2615" s="906"/>
    </row>
    <row r="2616" spans="3:3" x14ac:dyDescent="0.25">
      <c r="C2616" s="906"/>
    </row>
    <row r="2617" spans="3:3" x14ac:dyDescent="0.25">
      <c r="C2617" s="906"/>
    </row>
    <row r="2618" spans="3:3" x14ac:dyDescent="0.25">
      <c r="C2618" s="906"/>
    </row>
    <row r="2619" spans="3:3" x14ac:dyDescent="0.25">
      <c r="C2619" s="906"/>
    </row>
    <row r="2620" spans="3:3" x14ac:dyDescent="0.25">
      <c r="C2620" s="906"/>
    </row>
    <row r="2621" spans="3:3" x14ac:dyDescent="0.25">
      <c r="C2621" s="906"/>
    </row>
    <row r="2622" spans="3:3" x14ac:dyDescent="0.25">
      <c r="C2622" s="906"/>
    </row>
    <row r="2623" spans="3:3" x14ac:dyDescent="0.25">
      <c r="C2623" s="906"/>
    </row>
    <row r="2624" spans="3:3" x14ac:dyDescent="0.25">
      <c r="C2624" s="906"/>
    </row>
    <row r="2625" spans="3:3" x14ac:dyDescent="0.25">
      <c r="C2625" s="906"/>
    </row>
    <row r="2626" spans="3:3" x14ac:dyDescent="0.25">
      <c r="C2626" s="906"/>
    </row>
    <row r="2627" spans="3:3" x14ac:dyDescent="0.25">
      <c r="C2627" s="906"/>
    </row>
    <row r="2628" spans="3:3" x14ac:dyDescent="0.25">
      <c r="C2628" s="906"/>
    </row>
    <row r="2629" spans="3:3" x14ac:dyDescent="0.25">
      <c r="C2629" s="906"/>
    </row>
    <row r="2630" spans="3:3" x14ac:dyDescent="0.25">
      <c r="C2630" s="906"/>
    </row>
    <row r="2631" spans="3:3" x14ac:dyDescent="0.25">
      <c r="C2631" s="906"/>
    </row>
    <row r="2632" spans="3:3" x14ac:dyDescent="0.25">
      <c r="C2632" s="906"/>
    </row>
    <row r="2633" spans="3:3" x14ac:dyDescent="0.25">
      <c r="C2633" s="906"/>
    </row>
    <row r="2634" spans="3:3" x14ac:dyDescent="0.25">
      <c r="C2634" s="906"/>
    </row>
    <row r="2635" spans="3:3" x14ac:dyDescent="0.25">
      <c r="C2635" s="906"/>
    </row>
    <row r="2636" spans="3:3" x14ac:dyDescent="0.25">
      <c r="C2636" s="906"/>
    </row>
    <row r="2637" spans="3:3" x14ac:dyDescent="0.25">
      <c r="C2637" s="906"/>
    </row>
    <row r="2638" spans="3:3" x14ac:dyDescent="0.25">
      <c r="C2638" s="906"/>
    </row>
    <row r="2639" spans="3:3" x14ac:dyDescent="0.25">
      <c r="C2639" s="906"/>
    </row>
    <row r="2640" spans="3:3" x14ac:dyDescent="0.25">
      <c r="C2640" s="906"/>
    </row>
    <row r="2641" spans="3:3" x14ac:dyDescent="0.25">
      <c r="C2641" s="906"/>
    </row>
    <row r="2642" spans="3:3" x14ac:dyDescent="0.25">
      <c r="C2642" s="906"/>
    </row>
    <row r="2643" spans="3:3" x14ac:dyDescent="0.25">
      <c r="C2643" s="906"/>
    </row>
    <row r="2644" spans="3:3" x14ac:dyDescent="0.25">
      <c r="C2644" s="906"/>
    </row>
    <row r="2645" spans="3:3" x14ac:dyDescent="0.25">
      <c r="C2645" s="906"/>
    </row>
    <row r="2646" spans="3:3" x14ac:dyDescent="0.25">
      <c r="C2646" s="906"/>
    </row>
    <row r="2647" spans="3:3" x14ac:dyDescent="0.25">
      <c r="C2647" s="906"/>
    </row>
    <row r="2648" spans="3:3" x14ac:dyDescent="0.25">
      <c r="C2648" s="906"/>
    </row>
    <row r="2649" spans="3:3" x14ac:dyDescent="0.25">
      <c r="C2649" s="906"/>
    </row>
    <row r="2650" spans="3:3" x14ac:dyDescent="0.25">
      <c r="C2650" s="906"/>
    </row>
    <row r="2651" spans="3:3" x14ac:dyDescent="0.25">
      <c r="C2651" s="906"/>
    </row>
    <row r="2652" spans="3:3" x14ac:dyDescent="0.25">
      <c r="C2652" s="906"/>
    </row>
    <row r="2653" spans="3:3" x14ac:dyDescent="0.25">
      <c r="C2653" s="906"/>
    </row>
    <row r="2654" spans="3:3" x14ac:dyDescent="0.25">
      <c r="C2654" s="906"/>
    </row>
    <row r="2655" spans="3:3" x14ac:dyDescent="0.25">
      <c r="C2655" s="906"/>
    </row>
    <row r="2656" spans="3:3" x14ac:dyDescent="0.25">
      <c r="C2656" s="906"/>
    </row>
    <row r="2657" spans="3:3" x14ac:dyDescent="0.25">
      <c r="C2657" s="906"/>
    </row>
    <row r="2658" spans="3:3" x14ac:dyDescent="0.25">
      <c r="C2658" s="906"/>
    </row>
    <row r="2659" spans="3:3" x14ac:dyDescent="0.25">
      <c r="C2659" s="906"/>
    </row>
    <row r="2660" spans="3:3" x14ac:dyDescent="0.25">
      <c r="C2660" s="906"/>
    </row>
    <row r="2661" spans="3:3" x14ac:dyDescent="0.25">
      <c r="C2661" s="906"/>
    </row>
    <row r="2662" spans="3:3" x14ac:dyDescent="0.25">
      <c r="C2662" s="906"/>
    </row>
    <row r="2663" spans="3:3" x14ac:dyDescent="0.25">
      <c r="C2663" s="906"/>
    </row>
    <row r="2664" spans="3:3" x14ac:dyDescent="0.25">
      <c r="C2664" s="906"/>
    </row>
    <row r="2665" spans="3:3" x14ac:dyDescent="0.25">
      <c r="C2665" s="906"/>
    </row>
    <row r="2666" spans="3:3" x14ac:dyDescent="0.25">
      <c r="C2666" s="906"/>
    </row>
    <row r="2667" spans="3:3" x14ac:dyDescent="0.25">
      <c r="C2667" s="906"/>
    </row>
    <row r="2668" spans="3:3" x14ac:dyDescent="0.25">
      <c r="C2668" s="906"/>
    </row>
    <row r="2669" spans="3:3" x14ac:dyDescent="0.25">
      <c r="C2669" s="906"/>
    </row>
    <row r="2670" spans="3:3" x14ac:dyDescent="0.25">
      <c r="C2670" s="906"/>
    </row>
    <row r="2671" spans="3:3" x14ac:dyDescent="0.25">
      <c r="C2671" s="906"/>
    </row>
    <row r="2672" spans="3:3" x14ac:dyDescent="0.25">
      <c r="C2672" s="906"/>
    </row>
    <row r="2673" spans="3:3" x14ac:dyDescent="0.25">
      <c r="C2673" s="906"/>
    </row>
    <row r="2674" spans="3:3" x14ac:dyDescent="0.25">
      <c r="C2674" s="906"/>
    </row>
    <row r="2675" spans="3:3" x14ac:dyDescent="0.25">
      <c r="C2675" s="906"/>
    </row>
    <row r="2676" spans="3:3" x14ac:dyDescent="0.25">
      <c r="C2676" s="906"/>
    </row>
    <row r="2677" spans="3:3" x14ac:dyDescent="0.25">
      <c r="C2677" s="906"/>
    </row>
    <row r="2678" spans="3:3" x14ac:dyDescent="0.25">
      <c r="C2678" s="906"/>
    </row>
    <row r="2679" spans="3:3" x14ac:dyDescent="0.25">
      <c r="C2679" s="906"/>
    </row>
    <row r="2680" spans="3:3" x14ac:dyDescent="0.25">
      <c r="C2680" s="906"/>
    </row>
    <row r="2681" spans="3:3" x14ac:dyDescent="0.25">
      <c r="C2681" s="906"/>
    </row>
    <row r="2682" spans="3:3" x14ac:dyDescent="0.25">
      <c r="C2682" s="906"/>
    </row>
    <row r="2683" spans="3:3" x14ac:dyDescent="0.25">
      <c r="C2683" s="906"/>
    </row>
    <row r="2684" spans="3:3" x14ac:dyDescent="0.25">
      <c r="C2684" s="906"/>
    </row>
    <row r="2685" spans="3:3" x14ac:dyDescent="0.25">
      <c r="C2685" s="906"/>
    </row>
    <row r="2686" spans="3:3" x14ac:dyDescent="0.25">
      <c r="C2686" s="906"/>
    </row>
    <row r="2687" spans="3:3" x14ac:dyDescent="0.25">
      <c r="C2687" s="906"/>
    </row>
    <row r="2688" spans="3:3" x14ac:dyDescent="0.25">
      <c r="C2688" s="906"/>
    </row>
    <row r="2689" spans="3:3" x14ac:dyDescent="0.25">
      <c r="C2689" s="906"/>
    </row>
    <row r="2690" spans="3:3" x14ac:dyDescent="0.25">
      <c r="C2690" s="906"/>
    </row>
    <row r="2691" spans="3:3" x14ac:dyDescent="0.25">
      <c r="C2691" s="906"/>
    </row>
    <row r="2692" spans="3:3" x14ac:dyDescent="0.25">
      <c r="C2692" s="906"/>
    </row>
    <row r="2693" spans="3:3" x14ac:dyDescent="0.25">
      <c r="C2693" s="906"/>
    </row>
    <row r="2694" spans="3:3" x14ac:dyDescent="0.25">
      <c r="C2694" s="906"/>
    </row>
    <row r="2695" spans="3:3" x14ac:dyDescent="0.25">
      <c r="C2695" s="906"/>
    </row>
    <row r="2696" spans="3:3" x14ac:dyDescent="0.25">
      <c r="C2696" s="906"/>
    </row>
    <row r="2697" spans="3:3" x14ac:dyDescent="0.25">
      <c r="C2697" s="906"/>
    </row>
    <row r="2698" spans="3:3" x14ac:dyDescent="0.25">
      <c r="C2698" s="906"/>
    </row>
    <row r="2699" spans="3:3" x14ac:dyDescent="0.25">
      <c r="C2699" s="906"/>
    </row>
    <row r="2700" spans="3:3" x14ac:dyDescent="0.25">
      <c r="C2700" s="906"/>
    </row>
    <row r="2701" spans="3:3" x14ac:dyDescent="0.25">
      <c r="C2701" s="906"/>
    </row>
    <row r="2702" spans="3:3" x14ac:dyDescent="0.25">
      <c r="C2702" s="906"/>
    </row>
    <row r="2703" spans="3:3" x14ac:dyDescent="0.25">
      <c r="C2703" s="906"/>
    </row>
    <row r="2704" spans="3:3" x14ac:dyDescent="0.25">
      <c r="C2704" s="906"/>
    </row>
    <row r="2705" spans="3:3" x14ac:dyDescent="0.25">
      <c r="C2705" s="906"/>
    </row>
    <row r="2706" spans="3:3" x14ac:dyDescent="0.25">
      <c r="C2706" s="906"/>
    </row>
    <row r="2707" spans="3:3" x14ac:dyDescent="0.25">
      <c r="C2707" s="906"/>
    </row>
    <row r="2708" spans="3:3" x14ac:dyDescent="0.25">
      <c r="C2708" s="906"/>
    </row>
    <row r="2709" spans="3:3" x14ac:dyDescent="0.25">
      <c r="C2709" s="906"/>
    </row>
    <row r="2710" spans="3:3" x14ac:dyDescent="0.25">
      <c r="C2710" s="906"/>
    </row>
    <row r="2711" spans="3:3" x14ac:dyDescent="0.25">
      <c r="C2711" s="906"/>
    </row>
    <row r="2712" spans="3:3" x14ac:dyDescent="0.25">
      <c r="C2712" s="906"/>
    </row>
    <row r="2713" spans="3:3" x14ac:dyDescent="0.25">
      <c r="C2713" s="906"/>
    </row>
    <row r="2714" spans="3:3" x14ac:dyDescent="0.25">
      <c r="C2714" s="906"/>
    </row>
    <row r="2715" spans="3:3" x14ac:dyDescent="0.25">
      <c r="C2715" s="906"/>
    </row>
    <row r="2716" spans="3:3" x14ac:dyDescent="0.25">
      <c r="C2716" s="906"/>
    </row>
    <row r="2717" spans="3:3" x14ac:dyDescent="0.25">
      <c r="C2717" s="906"/>
    </row>
    <row r="2718" spans="3:3" x14ac:dyDescent="0.25">
      <c r="C2718" s="906"/>
    </row>
    <row r="2719" spans="3:3" x14ac:dyDescent="0.25">
      <c r="C2719" s="906"/>
    </row>
    <row r="2720" spans="3:3" x14ac:dyDescent="0.25">
      <c r="C2720" s="906"/>
    </row>
    <row r="2721" spans="3:3" x14ac:dyDescent="0.25">
      <c r="C2721" s="906"/>
    </row>
    <row r="2722" spans="3:3" x14ac:dyDescent="0.25">
      <c r="C2722" s="906"/>
    </row>
    <row r="2723" spans="3:3" x14ac:dyDescent="0.25">
      <c r="C2723" s="906"/>
    </row>
    <row r="2724" spans="3:3" x14ac:dyDescent="0.25">
      <c r="C2724" s="906"/>
    </row>
    <row r="2725" spans="3:3" x14ac:dyDescent="0.25">
      <c r="C2725" s="906"/>
    </row>
    <row r="2726" spans="3:3" x14ac:dyDescent="0.25">
      <c r="C2726" s="906"/>
    </row>
    <row r="2727" spans="3:3" x14ac:dyDescent="0.25">
      <c r="C2727" s="906"/>
    </row>
    <row r="2728" spans="3:3" x14ac:dyDescent="0.25">
      <c r="C2728" s="906"/>
    </row>
    <row r="2729" spans="3:3" x14ac:dyDescent="0.25">
      <c r="C2729" s="906"/>
    </row>
    <row r="2730" spans="3:3" x14ac:dyDescent="0.25">
      <c r="C2730" s="906"/>
    </row>
    <row r="2731" spans="3:3" x14ac:dyDescent="0.25">
      <c r="C2731" s="906"/>
    </row>
    <row r="2732" spans="3:3" x14ac:dyDescent="0.25">
      <c r="C2732" s="906"/>
    </row>
    <row r="2733" spans="3:3" x14ac:dyDescent="0.25">
      <c r="C2733" s="906"/>
    </row>
    <row r="2734" spans="3:3" x14ac:dyDescent="0.25">
      <c r="C2734" s="906"/>
    </row>
    <row r="2735" spans="3:3" x14ac:dyDescent="0.25">
      <c r="C2735" s="906"/>
    </row>
    <row r="2736" spans="3:3" x14ac:dyDescent="0.25">
      <c r="C2736" s="906"/>
    </row>
    <row r="2737" spans="3:3" x14ac:dyDescent="0.25">
      <c r="C2737" s="906"/>
    </row>
    <row r="2738" spans="3:3" x14ac:dyDescent="0.25">
      <c r="C2738" s="906"/>
    </row>
    <row r="2739" spans="3:3" x14ac:dyDescent="0.25">
      <c r="C2739" s="906"/>
    </row>
    <row r="2740" spans="3:3" x14ac:dyDescent="0.25">
      <c r="C2740" s="906"/>
    </row>
    <row r="2741" spans="3:3" x14ac:dyDescent="0.25">
      <c r="C2741" s="906"/>
    </row>
    <row r="2742" spans="3:3" x14ac:dyDescent="0.25">
      <c r="C2742" s="906"/>
    </row>
    <row r="2743" spans="3:3" x14ac:dyDescent="0.25">
      <c r="C2743" s="906"/>
    </row>
    <row r="2744" spans="3:3" x14ac:dyDescent="0.25">
      <c r="C2744" s="906"/>
    </row>
    <row r="2745" spans="3:3" x14ac:dyDescent="0.25">
      <c r="C2745" s="906"/>
    </row>
    <row r="2746" spans="3:3" x14ac:dyDescent="0.25">
      <c r="C2746" s="906"/>
    </row>
    <row r="2747" spans="3:3" x14ac:dyDescent="0.25">
      <c r="C2747" s="906"/>
    </row>
    <row r="2748" spans="3:3" x14ac:dyDescent="0.25">
      <c r="C2748" s="906"/>
    </row>
    <row r="2749" spans="3:3" x14ac:dyDescent="0.25">
      <c r="C2749" s="906"/>
    </row>
    <row r="2750" spans="3:3" x14ac:dyDescent="0.25">
      <c r="C2750" s="906"/>
    </row>
    <row r="2751" spans="3:3" x14ac:dyDescent="0.25">
      <c r="C2751" s="906"/>
    </row>
    <row r="2752" spans="3:3" x14ac:dyDescent="0.25">
      <c r="C2752" s="906"/>
    </row>
    <row r="2753" spans="3:3" x14ac:dyDescent="0.25">
      <c r="C2753" s="906"/>
    </row>
    <row r="2754" spans="3:3" x14ac:dyDescent="0.25">
      <c r="C2754" s="906"/>
    </row>
    <row r="2755" spans="3:3" x14ac:dyDescent="0.25">
      <c r="C2755" s="906"/>
    </row>
    <row r="2756" spans="3:3" x14ac:dyDescent="0.25">
      <c r="C2756" s="906"/>
    </row>
    <row r="2757" spans="3:3" x14ac:dyDescent="0.25">
      <c r="C2757" s="906"/>
    </row>
    <row r="2758" spans="3:3" x14ac:dyDescent="0.25">
      <c r="C2758" s="906"/>
    </row>
    <row r="2759" spans="3:3" x14ac:dyDescent="0.25">
      <c r="C2759" s="906"/>
    </row>
    <row r="2760" spans="3:3" x14ac:dyDescent="0.25">
      <c r="C2760" s="906"/>
    </row>
    <row r="2761" spans="3:3" x14ac:dyDescent="0.25">
      <c r="C2761" s="906"/>
    </row>
    <row r="2762" spans="3:3" x14ac:dyDescent="0.25">
      <c r="C2762" s="906"/>
    </row>
    <row r="2763" spans="3:3" x14ac:dyDescent="0.25">
      <c r="C2763" s="906"/>
    </row>
    <row r="2764" spans="3:3" x14ac:dyDescent="0.25">
      <c r="C2764" s="906"/>
    </row>
    <row r="2765" spans="3:3" x14ac:dyDescent="0.25">
      <c r="C2765" s="906"/>
    </row>
    <row r="2766" spans="3:3" x14ac:dyDescent="0.25">
      <c r="C2766" s="906"/>
    </row>
    <row r="2767" spans="3:3" x14ac:dyDescent="0.25">
      <c r="C2767" s="906"/>
    </row>
    <row r="2768" spans="3:3" x14ac:dyDescent="0.25">
      <c r="C2768" s="906"/>
    </row>
    <row r="2769" spans="3:3" x14ac:dyDescent="0.25">
      <c r="C2769" s="906"/>
    </row>
    <row r="2770" spans="3:3" x14ac:dyDescent="0.25">
      <c r="C2770" s="906"/>
    </row>
    <row r="2771" spans="3:3" x14ac:dyDescent="0.25">
      <c r="C2771" s="906"/>
    </row>
    <row r="2772" spans="3:3" x14ac:dyDescent="0.25">
      <c r="C2772" s="906"/>
    </row>
    <row r="2773" spans="3:3" x14ac:dyDescent="0.25">
      <c r="C2773" s="906"/>
    </row>
    <row r="2774" spans="3:3" x14ac:dyDescent="0.25">
      <c r="C2774" s="906"/>
    </row>
    <row r="2775" spans="3:3" x14ac:dyDescent="0.25">
      <c r="C2775" s="906"/>
    </row>
    <row r="2776" spans="3:3" x14ac:dyDescent="0.25">
      <c r="C2776" s="906"/>
    </row>
    <row r="2777" spans="3:3" x14ac:dyDescent="0.25">
      <c r="C2777" s="906"/>
    </row>
    <row r="2778" spans="3:3" x14ac:dyDescent="0.25">
      <c r="C2778" s="906"/>
    </row>
    <row r="2779" spans="3:3" x14ac:dyDescent="0.25">
      <c r="C2779" s="906"/>
    </row>
    <row r="2780" spans="3:3" x14ac:dyDescent="0.25">
      <c r="C2780" s="906"/>
    </row>
    <row r="2781" spans="3:3" x14ac:dyDescent="0.25">
      <c r="C2781" s="906"/>
    </row>
    <row r="2782" spans="3:3" x14ac:dyDescent="0.25">
      <c r="C2782" s="906"/>
    </row>
    <row r="2783" spans="3:3" x14ac:dyDescent="0.25">
      <c r="C2783" s="906"/>
    </row>
    <row r="2784" spans="3:3" x14ac:dyDescent="0.25">
      <c r="C2784" s="906"/>
    </row>
    <row r="2785" spans="3:3" x14ac:dyDescent="0.25">
      <c r="C2785" s="906"/>
    </row>
    <row r="2786" spans="3:3" x14ac:dyDescent="0.25">
      <c r="C2786" s="906"/>
    </row>
    <row r="2787" spans="3:3" x14ac:dyDescent="0.25">
      <c r="C2787" s="906"/>
    </row>
    <row r="2788" spans="3:3" x14ac:dyDescent="0.25">
      <c r="C2788" s="906"/>
    </row>
    <row r="2789" spans="3:3" x14ac:dyDescent="0.25">
      <c r="C2789" s="906"/>
    </row>
    <row r="2790" spans="3:3" x14ac:dyDescent="0.25">
      <c r="C2790" s="906"/>
    </row>
    <row r="2791" spans="3:3" x14ac:dyDescent="0.25">
      <c r="C2791" s="906"/>
    </row>
    <row r="2792" spans="3:3" x14ac:dyDescent="0.25">
      <c r="C2792" s="906"/>
    </row>
    <row r="2793" spans="3:3" x14ac:dyDescent="0.25">
      <c r="C2793" s="906"/>
    </row>
    <row r="2794" spans="3:3" x14ac:dyDescent="0.25">
      <c r="C2794" s="906"/>
    </row>
    <row r="2795" spans="3:3" x14ac:dyDescent="0.25">
      <c r="C2795" s="906"/>
    </row>
    <row r="2796" spans="3:3" x14ac:dyDescent="0.25">
      <c r="C2796" s="906"/>
    </row>
    <row r="2797" spans="3:3" x14ac:dyDescent="0.25">
      <c r="C2797" s="906"/>
    </row>
    <row r="2798" spans="3:3" x14ac:dyDescent="0.25">
      <c r="C2798" s="906"/>
    </row>
    <row r="2799" spans="3:3" x14ac:dyDescent="0.25">
      <c r="C2799" s="906"/>
    </row>
    <row r="2800" spans="3:3" x14ac:dyDescent="0.25">
      <c r="C2800" s="906"/>
    </row>
    <row r="2801" spans="3:3" x14ac:dyDescent="0.25">
      <c r="C2801" s="906"/>
    </row>
    <row r="2802" spans="3:3" x14ac:dyDescent="0.25">
      <c r="C2802" s="906"/>
    </row>
    <row r="2803" spans="3:3" x14ac:dyDescent="0.25">
      <c r="C2803" s="906"/>
    </row>
    <row r="2804" spans="3:3" x14ac:dyDescent="0.25">
      <c r="C2804" s="906"/>
    </row>
    <row r="2805" spans="3:3" x14ac:dyDescent="0.25">
      <c r="C2805" s="906"/>
    </row>
    <row r="2806" spans="3:3" x14ac:dyDescent="0.25">
      <c r="C2806" s="906"/>
    </row>
    <row r="2807" spans="3:3" x14ac:dyDescent="0.25">
      <c r="C2807" s="906"/>
    </row>
    <row r="2808" spans="3:3" x14ac:dyDescent="0.25">
      <c r="C2808" s="906"/>
    </row>
    <row r="2809" spans="3:3" x14ac:dyDescent="0.25">
      <c r="C2809" s="906"/>
    </row>
    <row r="2810" spans="3:3" x14ac:dyDescent="0.25">
      <c r="C2810" s="906"/>
    </row>
    <row r="2811" spans="3:3" x14ac:dyDescent="0.25">
      <c r="C2811" s="906"/>
    </row>
    <row r="2812" spans="3:3" x14ac:dyDescent="0.25">
      <c r="C2812" s="906"/>
    </row>
    <row r="2813" spans="3:3" x14ac:dyDescent="0.25">
      <c r="C2813" s="906"/>
    </row>
    <row r="2814" spans="3:3" x14ac:dyDescent="0.25">
      <c r="C2814" s="906"/>
    </row>
    <row r="2815" spans="3:3" x14ac:dyDescent="0.25">
      <c r="C2815" s="906"/>
    </row>
    <row r="2816" spans="3:3" x14ac:dyDescent="0.25">
      <c r="C2816" s="906"/>
    </row>
    <row r="2817" spans="3:3" x14ac:dyDescent="0.25">
      <c r="C2817" s="906"/>
    </row>
    <row r="2818" spans="3:3" x14ac:dyDescent="0.25">
      <c r="C2818" s="906"/>
    </row>
    <row r="2819" spans="3:3" x14ac:dyDescent="0.25">
      <c r="C2819" s="906"/>
    </row>
    <row r="2820" spans="3:3" x14ac:dyDescent="0.25">
      <c r="C2820" s="906"/>
    </row>
    <row r="2821" spans="3:3" x14ac:dyDescent="0.25">
      <c r="C2821" s="906"/>
    </row>
    <row r="2822" spans="3:3" x14ac:dyDescent="0.25">
      <c r="C2822" s="906"/>
    </row>
    <row r="2823" spans="3:3" x14ac:dyDescent="0.25">
      <c r="C2823" s="906"/>
    </row>
    <row r="2824" spans="3:3" x14ac:dyDescent="0.25">
      <c r="C2824" s="906"/>
    </row>
    <row r="2825" spans="3:3" x14ac:dyDescent="0.25">
      <c r="C2825" s="906"/>
    </row>
    <row r="2826" spans="3:3" x14ac:dyDescent="0.25">
      <c r="C2826" s="906"/>
    </row>
    <row r="2827" spans="3:3" x14ac:dyDescent="0.25">
      <c r="C2827" s="906"/>
    </row>
    <row r="2828" spans="3:3" x14ac:dyDescent="0.25">
      <c r="C2828" s="906"/>
    </row>
    <row r="2829" spans="3:3" x14ac:dyDescent="0.25">
      <c r="C2829" s="906"/>
    </row>
    <row r="2830" spans="3:3" x14ac:dyDescent="0.25">
      <c r="C2830" s="906"/>
    </row>
    <row r="2831" spans="3:3" x14ac:dyDescent="0.25">
      <c r="C2831" s="906"/>
    </row>
    <row r="2832" spans="3:3" x14ac:dyDescent="0.25">
      <c r="C2832" s="906"/>
    </row>
    <row r="2833" spans="3:3" x14ac:dyDescent="0.25">
      <c r="C2833" s="906"/>
    </row>
    <row r="2834" spans="3:3" x14ac:dyDescent="0.25">
      <c r="C2834" s="906"/>
    </row>
    <row r="2835" spans="3:3" x14ac:dyDescent="0.25">
      <c r="C2835" s="906"/>
    </row>
    <row r="2836" spans="3:3" x14ac:dyDescent="0.25">
      <c r="C2836" s="906"/>
    </row>
    <row r="2837" spans="3:3" x14ac:dyDescent="0.25">
      <c r="C2837" s="906"/>
    </row>
    <row r="2838" spans="3:3" x14ac:dyDescent="0.25">
      <c r="C2838" s="906"/>
    </row>
    <row r="2839" spans="3:3" x14ac:dyDescent="0.25">
      <c r="C2839" s="906"/>
    </row>
    <row r="2840" spans="3:3" x14ac:dyDescent="0.25">
      <c r="C2840" s="906"/>
    </row>
    <row r="2841" spans="3:3" x14ac:dyDescent="0.25">
      <c r="C2841" s="906"/>
    </row>
    <row r="2842" spans="3:3" x14ac:dyDescent="0.25">
      <c r="C2842" s="906"/>
    </row>
    <row r="2843" spans="3:3" x14ac:dyDescent="0.25">
      <c r="C2843" s="906"/>
    </row>
    <row r="2844" spans="3:3" x14ac:dyDescent="0.25">
      <c r="C2844" s="906"/>
    </row>
    <row r="2845" spans="3:3" x14ac:dyDescent="0.25">
      <c r="C2845" s="906"/>
    </row>
    <row r="2846" spans="3:3" x14ac:dyDescent="0.25">
      <c r="C2846" s="906"/>
    </row>
    <row r="2847" spans="3:3" x14ac:dyDescent="0.25">
      <c r="C2847" s="906"/>
    </row>
    <row r="2848" spans="3:3" x14ac:dyDescent="0.25">
      <c r="C2848" s="906"/>
    </row>
    <row r="2849" spans="3:3" x14ac:dyDescent="0.25">
      <c r="C2849" s="906"/>
    </row>
    <row r="2850" spans="3:3" x14ac:dyDescent="0.25">
      <c r="C2850" s="906"/>
    </row>
    <row r="2851" spans="3:3" x14ac:dyDescent="0.25">
      <c r="C2851" s="906"/>
    </row>
    <row r="2852" spans="3:3" x14ac:dyDescent="0.25">
      <c r="C2852" s="906"/>
    </row>
    <row r="2853" spans="3:3" x14ac:dyDescent="0.25">
      <c r="C2853" s="906"/>
    </row>
    <row r="2854" spans="3:3" x14ac:dyDescent="0.25">
      <c r="C2854" s="906"/>
    </row>
    <row r="2855" spans="3:3" x14ac:dyDescent="0.25">
      <c r="C2855" s="906"/>
    </row>
    <row r="2856" spans="3:3" x14ac:dyDescent="0.25">
      <c r="C2856" s="906"/>
    </row>
    <row r="2857" spans="3:3" x14ac:dyDescent="0.25">
      <c r="C2857" s="906"/>
    </row>
    <row r="2858" spans="3:3" x14ac:dyDescent="0.25">
      <c r="C2858" s="906"/>
    </row>
    <row r="2859" spans="3:3" x14ac:dyDescent="0.25">
      <c r="C2859" s="906"/>
    </row>
    <row r="2860" spans="3:3" x14ac:dyDescent="0.25">
      <c r="C2860" s="906"/>
    </row>
    <row r="2861" spans="3:3" x14ac:dyDescent="0.25">
      <c r="C2861" s="906"/>
    </row>
    <row r="2862" spans="3:3" x14ac:dyDescent="0.25">
      <c r="C2862" s="906"/>
    </row>
    <row r="2863" spans="3:3" x14ac:dyDescent="0.25">
      <c r="C2863" s="906"/>
    </row>
    <row r="2864" spans="3:3" x14ac:dyDescent="0.25">
      <c r="C2864" s="906"/>
    </row>
    <row r="2865" spans="3:3" x14ac:dyDescent="0.25">
      <c r="C2865" s="906"/>
    </row>
    <row r="2866" spans="3:3" x14ac:dyDescent="0.25">
      <c r="C2866" s="906"/>
    </row>
    <row r="2867" spans="3:3" x14ac:dyDescent="0.25">
      <c r="C2867" s="906"/>
    </row>
    <row r="2868" spans="3:3" x14ac:dyDescent="0.25">
      <c r="C2868" s="906"/>
    </row>
    <row r="2869" spans="3:3" x14ac:dyDescent="0.25">
      <c r="C2869" s="906"/>
    </row>
    <row r="2870" spans="3:3" x14ac:dyDescent="0.25">
      <c r="C2870" s="906"/>
    </row>
    <row r="2871" spans="3:3" x14ac:dyDescent="0.25">
      <c r="C2871" s="906"/>
    </row>
    <row r="2872" spans="3:3" x14ac:dyDescent="0.25">
      <c r="C2872" s="906"/>
    </row>
    <row r="2873" spans="3:3" x14ac:dyDescent="0.25">
      <c r="C2873" s="906"/>
    </row>
    <row r="2874" spans="3:3" x14ac:dyDescent="0.25">
      <c r="C2874" s="906"/>
    </row>
    <row r="2875" spans="3:3" x14ac:dyDescent="0.25">
      <c r="C2875" s="906"/>
    </row>
    <row r="2876" spans="3:3" x14ac:dyDescent="0.25">
      <c r="C2876" s="906"/>
    </row>
    <row r="2877" spans="3:3" x14ac:dyDescent="0.25">
      <c r="C2877" s="906"/>
    </row>
    <row r="2878" spans="3:3" x14ac:dyDescent="0.25">
      <c r="C2878" s="906"/>
    </row>
    <row r="2879" spans="3:3" x14ac:dyDescent="0.25">
      <c r="C2879" s="906"/>
    </row>
    <row r="2880" spans="3:3" x14ac:dyDescent="0.25">
      <c r="C2880" s="906"/>
    </row>
    <row r="2881" spans="3:3" x14ac:dyDescent="0.25">
      <c r="C2881" s="906"/>
    </row>
    <row r="2882" spans="3:3" x14ac:dyDescent="0.25">
      <c r="C2882" s="906"/>
    </row>
    <row r="2883" spans="3:3" x14ac:dyDescent="0.25">
      <c r="C2883" s="906"/>
    </row>
    <row r="2884" spans="3:3" x14ac:dyDescent="0.25">
      <c r="C2884" s="906"/>
    </row>
    <row r="2885" spans="3:3" x14ac:dyDescent="0.25">
      <c r="C2885" s="906"/>
    </row>
    <row r="2886" spans="3:3" x14ac:dyDescent="0.25">
      <c r="C2886" s="906"/>
    </row>
    <row r="2887" spans="3:3" x14ac:dyDescent="0.25">
      <c r="C2887" s="906"/>
    </row>
    <row r="2888" spans="3:3" x14ac:dyDescent="0.25">
      <c r="C2888" s="906"/>
    </row>
    <row r="2889" spans="3:3" x14ac:dyDescent="0.25">
      <c r="C2889" s="906"/>
    </row>
    <row r="2890" spans="3:3" x14ac:dyDescent="0.25">
      <c r="C2890" s="906"/>
    </row>
    <row r="2891" spans="3:3" x14ac:dyDescent="0.25">
      <c r="C2891" s="906"/>
    </row>
    <row r="2892" spans="3:3" x14ac:dyDescent="0.25">
      <c r="C2892" s="906"/>
    </row>
    <row r="2893" spans="3:3" x14ac:dyDescent="0.25">
      <c r="C2893" s="906"/>
    </row>
    <row r="2894" spans="3:3" x14ac:dyDescent="0.25">
      <c r="C2894" s="906"/>
    </row>
    <row r="2895" spans="3:3" x14ac:dyDescent="0.25">
      <c r="C2895" s="906"/>
    </row>
    <row r="2896" spans="3:3" x14ac:dyDescent="0.25">
      <c r="C2896" s="906"/>
    </row>
    <row r="2897" spans="3:3" x14ac:dyDescent="0.25">
      <c r="C2897" s="906"/>
    </row>
    <row r="2898" spans="3:3" x14ac:dyDescent="0.25">
      <c r="C2898" s="906"/>
    </row>
    <row r="2899" spans="3:3" x14ac:dyDescent="0.25">
      <c r="C2899" s="906"/>
    </row>
    <row r="2900" spans="3:3" x14ac:dyDescent="0.25">
      <c r="C2900" s="906"/>
    </row>
    <row r="2901" spans="3:3" x14ac:dyDescent="0.25">
      <c r="C2901" s="906"/>
    </row>
    <row r="2902" spans="3:3" x14ac:dyDescent="0.25">
      <c r="C2902" s="906"/>
    </row>
    <row r="2903" spans="3:3" x14ac:dyDescent="0.25">
      <c r="C2903" s="906"/>
    </row>
    <row r="2904" spans="3:3" x14ac:dyDescent="0.25">
      <c r="C2904" s="906"/>
    </row>
    <row r="2905" spans="3:3" x14ac:dyDescent="0.25">
      <c r="C2905" s="906"/>
    </row>
    <row r="2906" spans="3:3" x14ac:dyDescent="0.25">
      <c r="C2906" s="906"/>
    </row>
    <row r="2907" spans="3:3" x14ac:dyDescent="0.25">
      <c r="C2907" s="906"/>
    </row>
    <row r="2908" spans="3:3" x14ac:dyDescent="0.25">
      <c r="C2908" s="906"/>
    </row>
    <row r="2909" spans="3:3" x14ac:dyDescent="0.25">
      <c r="C2909" s="906"/>
    </row>
    <row r="2910" spans="3:3" x14ac:dyDescent="0.25">
      <c r="C2910" s="906"/>
    </row>
    <row r="2911" spans="3:3" x14ac:dyDescent="0.25">
      <c r="C2911" s="906"/>
    </row>
    <row r="2912" spans="3:3" x14ac:dyDescent="0.25">
      <c r="C2912" s="906"/>
    </row>
    <row r="2913" spans="3:3" x14ac:dyDescent="0.25">
      <c r="C2913" s="906"/>
    </row>
    <row r="2914" spans="3:3" x14ac:dyDescent="0.25">
      <c r="C2914" s="906"/>
    </row>
    <row r="2915" spans="3:3" x14ac:dyDescent="0.25">
      <c r="C2915" s="906"/>
    </row>
    <row r="2916" spans="3:3" x14ac:dyDescent="0.25">
      <c r="C2916" s="906"/>
    </row>
    <row r="2917" spans="3:3" x14ac:dyDescent="0.25">
      <c r="C2917" s="906"/>
    </row>
    <row r="2918" spans="3:3" x14ac:dyDescent="0.25">
      <c r="C2918" s="906"/>
    </row>
    <row r="2919" spans="3:3" x14ac:dyDescent="0.25">
      <c r="C2919" s="906"/>
    </row>
    <row r="2920" spans="3:3" x14ac:dyDescent="0.25">
      <c r="C2920" s="906"/>
    </row>
    <row r="2921" spans="3:3" x14ac:dyDescent="0.25">
      <c r="C2921" s="906"/>
    </row>
    <row r="2922" spans="3:3" x14ac:dyDescent="0.25">
      <c r="C2922" s="906"/>
    </row>
    <row r="2923" spans="3:3" x14ac:dyDescent="0.25">
      <c r="C2923" s="906"/>
    </row>
    <row r="2924" spans="3:3" x14ac:dyDescent="0.25">
      <c r="C2924" s="906"/>
    </row>
    <row r="2925" spans="3:3" x14ac:dyDescent="0.25">
      <c r="C2925" s="906"/>
    </row>
    <row r="2926" spans="3:3" x14ac:dyDescent="0.25">
      <c r="C2926" s="906"/>
    </row>
    <row r="2927" spans="3:3" x14ac:dyDescent="0.25">
      <c r="C2927" s="906"/>
    </row>
    <row r="2928" spans="3:3" x14ac:dyDescent="0.25">
      <c r="C2928" s="906"/>
    </row>
    <row r="2929" spans="3:3" x14ac:dyDescent="0.25">
      <c r="C2929" s="906"/>
    </row>
    <row r="2930" spans="3:3" x14ac:dyDescent="0.25">
      <c r="C2930" s="906"/>
    </row>
    <row r="2931" spans="3:3" x14ac:dyDescent="0.25">
      <c r="C2931" s="906"/>
    </row>
    <row r="2932" spans="3:3" x14ac:dyDescent="0.25">
      <c r="C2932" s="906"/>
    </row>
    <row r="2933" spans="3:3" x14ac:dyDescent="0.25">
      <c r="C2933" s="906"/>
    </row>
    <row r="2934" spans="3:3" x14ac:dyDescent="0.25">
      <c r="C2934" s="906"/>
    </row>
    <row r="2935" spans="3:3" x14ac:dyDescent="0.25">
      <c r="C2935" s="906"/>
    </row>
    <row r="2936" spans="3:3" x14ac:dyDescent="0.25">
      <c r="C2936" s="906"/>
    </row>
    <row r="2937" spans="3:3" x14ac:dyDescent="0.25">
      <c r="C2937" s="906"/>
    </row>
    <row r="2938" spans="3:3" x14ac:dyDescent="0.25">
      <c r="C2938" s="906"/>
    </row>
    <row r="2939" spans="3:3" x14ac:dyDescent="0.25">
      <c r="C2939" s="906"/>
    </row>
    <row r="2940" spans="3:3" x14ac:dyDescent="0.25">
      <c r="C2940" s="906"/>
    </row>
    <row r="2941" spans="3:3" x14ac:dyDescent="0.25">
      <c r="C2941" s="906"/>
    </row>
    <row r="2942" spans="3:3" x14ac:dyDescent="0.25">
      <c r="C2942" s="906"/>
    </row>
    <row r="2943" spans="3:3" x14ac:dyDescent="0.25">
      <c r="C2943" s="906"/>
    </row>
    <row r="2944" spans="3:3" x14ac:dyDescent="0.25">
      <c r="C2944" s="906"/>
    </row>
    <row r="2945" spans="3:3" x14ac:dyDescent="0.25">
      <c r="C2945" s="906"/>
    </row>
    <row r="2946" spans="3:3" x14ac:dyDescent="0.25">
      <c r="C2946" s="906"/>
    </row>
    <row r="2947" spans="3:3" x14ac:dyDescent="0.25">
      <c r="C2947" s="906"/>
    </row>
    <row r="2948" spans="3:3" x14ac:dyDescent="0.25">
      <c r="C2948" s="906"/>
    </row>
    <row r="2949" spans="3:3" x14ac:dyDescent="0.25">
      <c r="C2949" s="906"/>
    </row>
    <row r="2950" spans="3:3" x14ac:dyDescent="0.25">
      <c r="C2950" s="906"/>
    </row>
    <row r="2951" spans="3:3" x14ac:dyDescent="0.25">
      <c r="C2951" s="906"/>
    </row>
    <row r="2952" spans="3:3" x14ac:dyDescent="0.25">
      <c r="C2952" s="906"/>
    </row>
    <row r="2953" spans="3:3" x14ac:dyDescent="0.25">
      <c r="C2953" s="906"/>
    </row>
    <row r="2954" spans="3:3" x14ac:dyDescent="0.25">
      <c r="C2954" s="906"/>
    </row>
    <row r="2955" spans="3:3" x14ac:dyDescent="0.25">
      <c r="C2955" s="906"/>
    </row>
    <row r="2956" spans="3:3" x14ac:dyDescent="0.25">
      <c r="C2956" s="906"/>
    </row>
    <row r="2957" spans="3:3" x14ac:dyDescent="0.25">
      <c r="C2957" s="906"/>
    </row>
    <row r="2958" spans="3:3" x14ac:dyDescent="0.25">
      <c r="C2958" s="906"/>
    </row>
    <row r="2959" spans="3:3" x14ac:dyDescent="0.25">
      <c r="C2959" s="906"/>
    </row>
    <row r="2960" spans="3:3" x14ac:dyDescent="0.25">
      <c r="C2960" s="906"/>
    </row>
    <row r="2961" spans="3:3" x14ac:dyDescent="0.25">
      <c r="C2961" s="906"/>
    </row>
    <row r="2962" spans="3:3" x14ac:dyDescent="0.25">
      <c r="C2962" s="906"/>
    </row>
    <row r="2963" spans="3:3" x14ac:dyDescent="0.25">
      <c r="C2963" s="906"/>
    </row>
    <row r="2964" spans="3:3" x14ac:dyDescent="0.25">
      <c r="C2964" s="906"/>
    </row>
    <row r="2965" spans="3:3" x14ac:dyDescent="0.25">
      <c r="C2965" s="906"/>
    </row>
    <row r="2966" spans="3:3" x14ac:dyDescent="0.25">
      <c r="C2966" s="906"/>
    </row>
    <row r="2967" spans="3:3" x14ac:dyDescent="0.25">
      <c r="C2967" s="906"/>
    </row>
    <row r="2968" spans="3:3" x14ac:dyDescent="0.25">
      <c r="C2968" s="906"/>
    </row>
    <row r="2969" spans="3:3" x14ac:dyDescent="0.25">
      <c r="C2969" s="906"/>
    </row>
    <row r="2970" spans="3:3" x14ac:dyDescent="0.25">
      <c r="C2970" s="906"/>
    </row>
    <row r="2971" spans="3:3" x14ac:dyDescent="0.25">
      <c r="C2971" s="906"/>
    </row>
    <row r="2972" spans="3:3" x14ac:dyDescent="0.25">
      <c r="C2972" s="906"/>
    </row>
    <row r="2973" spans="3:3" x14ac:dyDescent="0.25">
      <c r="C2973" s="906"/>
    </row>
    <row r="2974" spans="3:3" x14ac:dyDescent="0.25">
      <c r="C2974" s="906"/>
    </row>
    <row r="2975" spans="3:3" x14ac:dyDescent="0.25">
      <c r="C2975" s="906"/>
    </row>
    <row r="2976" spans="3:3" x14ac:dyDescent="0.25">
      <c r="C2976" s="906"/>
    </row>
    <row r="2977" spans="3:3" x14ac:dyDescent="0.25">
      <c r="C2977" s="906"/>
    </row>
    <row r="2978" spans="3:3" x14ac:dyDescent="0.25">
      <c r="C2978" s="906"/>
    </row>
    <row r="2979" spans="3:3" x14ac:dyDescent="0.25">
      <c r="C2979" s="906"/>
    </row>
    <row r="2980" spans="3:3" x14ac:dyDescent="0.25">
      <c r="C2980" s="906"/>
    </row>
    <row r="2981" spans="3:3" x14ac:dyDescent="0.25">
      <c r="C2981" s="906"/>
    </row>
    <row r="2982" spans="3:3" x14ac:dyDescent="0.25">
      <c r="C2982" s="906"/>
    </row>
    <row r="2983" spans="3:3" x14ac:dyDescent="0.25">
      <c r="C2983" s="906"/>
    </row>
    <row r="2984" spans="3:3" x14ac:dyDescent="0.25">
      <c r="C2984" s="906"/>
    </row>
    <row r="2985" spans="3:3" x14ac:dyDescent="0.25">
      <c r="C2985" s="906"/>
    </row>
    <row r="2986" spans="3:3" x14ac:dyDescent="0.25">
      <c r="C2986" s="906"/>
    </row>
    <row r="2987" spans="3:3" x14ac:dyDescent="0.25">
      <c r="C2987" s="906"/>
    </row>
    <row r="2988" spans="3:3" x14ac:dyDescent="0.25">
      <c r="C2988" s="906"/>
    </row>
    <row r="2989" spans="3:3" x14ac:dyDescent="0.25">
      <c r="C2989" s="906"/>
    </row>
    <row r="2990" spans="3:3" x14ac:dyDescent="0.25">
      <c r="C2990" s="906"/>
    </row>
    <row r="2991" spans="3:3" x14ac:dyDescent="0.25">
      <c r="C2991" s="906"/>
    </row>
    <row r="2992" spans="3:3" x14ac:dyDescent="0.25">
      <c r="C2992" s="906"/>
    </row>
    <row r="2993" spans="3:3" x14ac:dyDescent="0.25">
      <c r="C2993" s="906"/>
    </row>
    <row r="2994" spans="3:3" x14ac:dyDescent="0.25">
      <c r="C2994" s="906"/>
    </row>
    <row r="2995" spans="3:3" x14ac:dyDescent="0.25">
      <c r="C2995" s="906"/>
    </row>
    <row r="2996" spans="3:3" x14ac:dyDescent="0.25">
      <c r="C2996" s="906"/>
    </row>
    <row r="2997" spans="3:3" x14ac:dyDescent="0.25">
      <c r="C2997" s="906"/>
    </row>
    <row r="2998" spans="3:3" x14ac:dyDescent="0.25">
      <c r="C2998" s="906"/>
    </row>
    <row r="2999" spans="3:3" x14ac:dyDescent="0.25">
      <c r="C2999" s="906"/>
    </row>
    <row r="3000" spans="3:3" x14ac:dyDescent="0.25">
      <c r="C3000" s="906"/>
    </row>
    <row r="3001" spans="3:3" x14ac:dyDescent="0.25">
      <c r="C3001" s="906"/>
    </row>
    <row r="3002" spans="3:3" x14ac:dyDescent="0.25">
      <c r="C3002" s="906"/>
    </row>
    <row r="3003" spans="3:3" x14ac:dyDescent="0.25">
      <c r="C3003" s="906"/>
    </row>
    <row r="3004" spans="3:3" x14ac:dyDescent="0.25">
      <c r="C3004" s="906"/>
    </row>
    <row r="3005" spans="3:3" x14ac:dyDescent="0.25">
      <c r="C3005" s="906"/>
    </row>
    <row r="3006" spans="3:3" x14ac:dyDescent="0.25">
      <c r="C3006" s="906"/>
    </row>
    <row r="3007" spans="3:3" x14ac:dyDescent="0.25">
      <c r="C3007" s="906"/>
    </row>
    <row r="3008" spans="3:3" x14ac:dyDescent="0.25">
      <c r="C3008" s="906"/>
    </row>
    <row r="3009" spans="3:3" x14ac:dyDescent="0.25">
      <c r="C3009" s="906"/>
    </row>
    <row r="3010" spans="3:3" x14ac:dyDescent="0.25">
      <c r="C3010" s="906"/>
    </row>
    <row r="3011" spans="3:3" x14ac:dyDescent="0.25">
      <c r="C3011" s="906"/>
    </row>
    <row r="3012" spans="3:3" x14ac:dyDescent="0.25">
      <c r="C3012" s="906"/>
    </row>
    <row r="3013" spans="3:3" x14ac:dyDescent="0.25">
      <c r="C3013" s="906"/>
    </row>
    <row r="3014" spans="3:3" x14ac:dyDescent="0.25">
      <c r="C3014" s="906"/>
    </row>
    <row r="3015" spans="3:3" x14ac:dyDescent="0.25">
      <c r="C3015" s="906"/>
    </row>
    <row r="3016" spans="3:3" x14ac:dyDescent="0.25">
      <c r="C3016" s="906"/>
    </row>
    <row r="3017" spans="3:3" x14ac:dyDescent="0.25">
      <c r="C3017" s="906"/>
    </row>
    <row r="3018" spans="3:3" x14ac:dyDescent="0.25">
      <c r="C3018" s="906"/>
    </row>
    <row r="3019" spans="3:3" x14ac:dyDescent="0.25">
      <c r="C3019" s="906"/>
    </row>
    <row r="3020" spans="3:3" x14ac:dyDescent="0.25">
      <c r="C3020" s="906"/>
    </row>
    <row r="3021" spans="3:3" x14ac:dyDescent="0.25">
      <c r="C3021" s="906"/>
    </row>
    <row r="3022" spans="3:3" x14ac:dyDescent="0.25">
      <c r="C3022" s="906"/>
    </row>
    <row r="3023" spans="3:3" x14ac:dyDescent="0.25">
      <c r="C3023" s="906"/>
    </row>
    <row r="3024" spans="3:3" x14ac:dyDescent="0.25">
      <c r="C3024" s="906"/>
    </row>
    <row r="3025" spans="3:3" x14ac:dyDescent="0.25">
      <c r="C3025" s="906"/>
    </row>
    <row r="3026" spans="3:3" x14ac:dyDescent="0.25">
      <c r="C3026" s="906"/>
    </row>
    <row r="3027" spans="3:3" x14ac:dyDescent="0.25">
      <c r="C3027" s="906"/>
    </row>
    <row r="3028" spans="3:3" x14ac:dyDescent="0.25">
      <c r="C3028" s="906"/>
    </row>
    <row r="3029" spans="3:3" x14ac:dyDescent="0.25">
      <c r="C3029" s="906"/>
    </row>
    <row r="3030" spans="3:3" x14ac:dyDescent="0.25">
      <c r="C3030" s="906"/>
    </row>
    <row r="3031" spans="3:3" x14ac:dyDescent="0.25">
      <c r="C3031" s="906"/>
    </row>
    <row r="3032" spans="3:3" x14ac:dyDescent="0.25">
      <c r="C3032" s="906"/>
    </row>
    <row r="3033" spans="3:3" x14ac:dyDescent="0.25">
      <c r="C3033" s="906"/>
    </row>
    <row r="3034" spans="3:3" x14ac:dyDescent="0.25">
      <c r="C3034" s="906"/>
    </row>
    <row r="3035" spans="3:3" x14ac:dyDescent="0.25">
      <c r="C3035" s="906"/>
    </row>
    <row r="3036" spans="3:3" x14ac:dyDescent="0.25">
      <c r="C3036" s="906"/>
    </row>
    <row r="3037" spans="3:3" x14ac:dyDescent="0.25">
      <c r="C3037" s="906"/>
    </row>
    <row r="3038" spans="3:3" x14ac:dyDescent="0.25">
      <c r="C3038" s="906"/>
    </row>
    <row r="3039" spans="3:3" x14ac:dyDescent="0.25">
      <c r="C3039" s="906"/>
    </row>
    <row r="3040" spans="3:3" x14ac:dyDescent="0.25">
      <c r="C3040" s="906"/>
    </row>
    <row r="3041" spans="3:3" x14ac:dyDescent="0.25">
      <c r="C3041" s="906"/>
    </row>
    <row r="3042" spans="3:3" x14ac:dyDescent="0.25">
      <c r="C3042" s="906"/>
    </row>
    <row r="3043" spans="3:3" x14ac:dyDescent="0.25">
      <c r="C3043" s="906"/>
    </row>
    <row r="3044" spans="3:3" x14ac:dyDescent="0.25">
      <c r="C3044" s="906"/>
    </row>
    <row r="3045" spans="3:3" x14ac:dyDescent="0.25">
      <c r="C3045" s="906"/>
    </row>
    <row r="3046" spans="3:3" x14ac:dyDescent="0.25">
      <c r="C3046" s="906"/>
    </row>
    <row r="3047" spans="3:3" x14ac:dyDescent="0.25">
      <c r="C3047" s="906"/>
    </row>
    <row r="3048" spans="3:3" x14ac:dyDescent="0.25">
      <c r="C3048" s="906"/>
    </row>
    <row r="3049" spans="3:3" x14ac:dyDescent="0.25">
      <c r="C3049" s="906"/>
    </row>
    <row r="3050" spans="3:3" x14ac:dyDescent="0.25">
      <c r="C3050" s="906"/>
    </row>
    <row r="3051" spans="3:3" x14ac:dyDescent="0.25">
      <c r="C3051" s="906"/>
    </row>
    <row r="3052" spans="3:3" x14ac:dyDescent="0.25">
      <c r="C3052" s="906"/>
    </row>
    <row r="3053" spans="3:3" x14ac:dyDescent="0.25">
      <c r="C3053" s="906"/>
    </row>
    <row r="3054" spans="3:3" x14ac:dyDescent="0.25">
      <c r="C3054" s="906"/>
    </row>
    <row r="3055" spans="3:3" x14ac:dyDescent="0.25">
      <c r="C3055" s="906"/>
    </row>
    <row r="3056" spans="3:3" x14ac:dyDescent="0.25">
      <c r="C3056" s="906"/>
    </row>
    <row r="3057" spans="3:3" x14ac:dyDescent="0.25">
      <c r="C3057" s="906"/>
    </row>
    <row r="3058" spans="3:3" x14ac:dyDescent="0.25">
      <c r="C3058" s="906"/>
    </row>
    <row r="3059" spans="3:3" x14ac:dyDescent="0.25">
      <c r="C3059" s="906"/>
    </row>
    <row r="3060" spans="3:3" x14ac:dyDescent="0.25">
      <c r="C3060" s="906"/>
    </row>
    <row r="3061" spans="3:3" x14ac:dyDescent="0.25">
      <c r="C3061" s="906"/>
    </row>
    <row r="3062" spans="3:3" x14ac:dyDescent="0.25">
      <c r="C3062" s="906"/>
    </row>
    <row r="3063" spans="3:3" x14ac:dyDescent="0.25">
      <c r="C3063" s="906"/>
    </row>
    <row r="3064" spans="3:3" x14ac:dyDescent="0.25">
      <c r="C3064" s="906"/>
    </row>
    <row r="3065" spans="3:3" x14ac:dyDescent="0.25">
      <c r="C3065" s="906"/>
    </row>
    <row r="3066" spans="3:3" x14ac:dyDescent="0.25">
      <c r="C3066" s="906"/>
    </row>
    <row r="3067" spans="3:3" x14ac:dyDescent="0.25">
      <c r="C3067" s="906"/>
    </row>
    <row r="3068" spans="3:3" x14ac:dyDescent="0.25">
      <c r="C3068" s="906"/>
    </row>
    <row r="3069" spans="3:3" x14ac:dyDescent="0.25">
      <c r="C3069" s="906"/>
    </row>
    <row r="3070" spans="3:3" x14ac:dyDescent="0.25">
      <c r="C3070" s="906"/>
    </row>
    <row r="3071" spans="3:3" x14ac:dyDescent="0.25">
      <c r="C3071" s="906"/>
    </row>
    <row r="3072" spans="3:3" x14ac:dyDescent="0.25">
      <c r="C3072" s="906"/>
    </row>
    <row r="3073" spans="3:3" x14ac:dyDescent="0.25">
      <c r="C3073" s="906"/>
    </row>
    <row r="3074" spans="3:3" x14ac:dyDescent="0.25">
      <c r="C3074" s="906"/>
    </row>
    <row r="3075" spans="3:3" x14ac:dyDescent="0.25">
      <c r="C3075" s="906"/>
    </row>
    <row r="3076" spans="3:3" x14ac:dyDescent="0.25">
      <c r="C3076" s="906"/>
    </row>
    <row r="3077" spans="3:3" x14ac:dyDescent="0.25">
      <c r="C3077" s="906"/>
    </row>
    <row r="3078" spans="3:3" x14ac:dyDescent="0.25">
      <c r="C3078" s="906"/>
    </row>
    <row r="3079" spans="3:3" x14ac:dyDescent="0.25">
      <c r="C3079" s="906"/>
    </row>
    <row r="3080" spans="3:3" x14ac:dyDescent="0.25">
      <c r="C3080" s="906"/>
    </row>
    <row r="3081" spans="3:3" x14ac:dyDescent="0.25">
      <c r="C3081" s="906"/>
    </row>
    <row r="3082" spans="3:3" x14ac:dyDescent="0.25">
      <c r="C3082" s="906"/>
    </row>
    <row r="3083" spans="3:3" x14ac:dyDescent="0.25">
      <c r="C3083" s="906"/>
    </row>
    <row r="3084" spans="3:3" x14ac:dyDescent="0.25">
      <c r="C3084" s="906"/>
    </row>
    <row r="3085" spans="3:3" x14ac:dyDescent="0.25">
      <c r="C3085" s="906"/>
    </row>
    <row r="3086" spans="3:3" x14ac:dyDescent="0.25">
      <c r="C3086" s="906"/>
    </row>
    <row r="3087" spans="3:3" x14ac:dyDescent="0.25">
      <c r="C3087" s="906"/>
    </row>
    <row r="3088" spans="3:3" x14ac:dyDescent="0.25">
      <c r="C3088" s="906"/>
    </row>
    <row r="3089" spans="3:3" x14ac:dyDescent="0.25">
      <c r="C3089" s="906"/>
    </row>
    <row r="3090" spans="3:3" x14ac:dyDescent="0.25">
      <c r="C3090" s="906"/>
    </row>
    <row r="3091" spans="3:3" x14ac:dyDescent="0.25">
      <c r="C3091" s="906"/>
    </row>
    <row r="3092" spans="3:3" x14ac:dyDescent="0.25">
      <c r="C3092" s="906"/>
    </row>
    <row r="3093" spans="3:3" x14ac:dyDescent="0.25">
      <c r="C3093" s="906"/>
    </row>
    <row r="3094" spans="3:3" x14ac:dyDescent="0.25">
      <c r="C3094" s="906"/>
    </row>
    <row r="3095" spans="3:3" x14ac:dyDescent="0.25">
      <c r="C3095" s="906"/>
    </row>
    <row r="3096" spans="3:3" x14ac:dyDescent="0.25">
      <c r="C3096" s="906"/>
    </row>
    <row r="3097" spans="3:3" x14ac:dyDescent="0.25">
      <c r="C3097" s="906"/>
    </row>
    <row r="3098" spans="3:3" x14ac:dyDescent="0.25">
      <c r="C3098" s="906"/>
    </row>
    <row r="3099" spans="3:3" x14ac:dyDescent="0.25">
      <c r="C3099" s="906"/>
    </row>
    <row r="3100" spans="3:3" x14ac:dyDescent="0.25">
      <c r="C3100" s="906"/>
    </row>
    <row r="3101" spans="3:3" x14ac:dyDescent="0.25">
      <c r="C3101" s="906"/>
    </row>
    <row r="3102" spans="3:3" x14ac:dyDescent="0.25">
      <c r="C3102" s="906"/>
    </row>
    <row r="3103" spans="3:3" x14ac:dyDescent="0.25">
      <c r="C3103" s="906"/>
    </row>
    <row r="3104" spans="3:3" x14ac:dyDescent="0.25">
      <c r="C3104" s="906"/>
    </row>
    <row r="3105" spans="3:3" x14ac:dyDescent="0.25">
      <c r="C3105" s="906"/>
    </row>
    <row r="3106" spans="3:3" x14ac:dyDescent="0.25">
      <c r="C3106" s="906"/>
    </row>
    <row r="3107" spans="3:3" x14ac:dyDescent="0.25">
      <c r="C3107" s="906"/>
    </row>
    <row r="3108" spans="3:3" x14ac:dyDescent="0.25">
      <c r="C3108" s="906"/>
    </row>
    <row r="3109" spans="3:3" x14ac:dyDescent="0.25">
      <c r="C3109" s="906"/>
    </row>
    <row r="3110" spans="3:3" x14ac:dyDescent="0.25">
      <c r="C3110" s="906"/>
    </row>
    <row r="3111" spans="3:3" x14ac:dyDescent="0.25">
      <c r="C3111" s="906"/>
    </row>
    <row r="3112" spans="3:3" x14ac:dyDescent="0.25">
      <c r="C3112" s="906"/>
    </row>
    <row r="3113" spans="3:3" x14ac:dyDescent="0.25">
      <c r="C3113" s="906"/>
    </row>
    <row r="3114" spans="3:3" x14ac:dyDescent="0.25">
      <c r="C3114" s="906"/>
    </row>
    <row r="3115" spans="3:3" x14ac:dyDescent="0.25">
      <c r="C3115" s="906"/>
    </row>
    <row r="3116" spans="3:3" x14ac:dyDescent="0.25">
      <c r="C3116" s="906"/>
    </row>
    <row r="3117" spans="3:3" x14ac:dyDescent="0.25">
      <c r="C3117" s="906"/>
    </row>
    <row r="3118" spans="3:3" x14ac:dyDescent="0.25">
      <c r="C3118" s="906"/>
    </row>
    <row r="3119" spans="3:3" x14ac:dyDescent="0.25">
      <c r="C3119" s="906"/>
    </row>
    <row r="3120" spans="3:3" x14ac:dyDescent="0.25">
      <c r="C3120" s="906"/>
    </row>
    <row r="3121" spans="3:3" x14ac:dyDescent="0.25">
      <c r="C3121" s="906"/>
    </row>
    <row r="3122" spans="3:3" x14ac:dyDescent="0.25">
      <c r="C3122" s="906"/>
    </row>
    <row r="3123" spans="3:3" x14ac:dyDescent="0.25">
      <c r="C3123" s="906"/>
    </row>
    <row r="3124" spans="3:3" x14ac:dyDescent="0.25">
      <c r="C3124" s="906"/>
    </row>
    <row r="3125" spans="3:3" x14ac:dyDescent="0.25">
      <c r="C3125" s="906"/>
    </row>
    <row r="3126" spans="3:3" x14ac:dyDescent="0.25">
      <c r="C3126" s="906"/>
    </row>
    <row r="3127" spans="3:3" x14ac:dyDescent="0.25">
      <c r="C3127" s="906"/>
    </row>
    <row r="3128" spans="3:3" x14ac:dyDescent="0.25">
      <c r="C3128" s="906"/>
    </row>
    <row r="3129" spans="3:3" x14ac:dyDescent="0.25">
      <c r="C3129" s="906"/>
    </row>
    <row r="3130" spans="3:3" x14ac:dyDescent="0.25">
      <c r="C3130" s="906"/>
    </row>
    <row r="3131" spans="3:3" x14ac:dyDescent="0.25">
      <c r="C3131" s="906"/>
    </row>
    <row r="3132" spans="3:3" x14ac:dyDescent="0.25">
      <c r="C3132" s="906"/>
    </row>
    <row r="3133" spans="3:3" x14ac:dyDescent="0.25">
      <c r="C3133" s="906"/>
    </row>
    <row r="3134" spans="3:3" x14ac:dyDescent="0.25">
      <c r="C3134" s="906"/>
    </row>
    <row r="3135" spans="3:3" x14ac:dyDescent="0.25">
      <c r="C3135" s="906"/>
    </row>
    <row r="3136" spans="3:3" x14ac:dyDescent="0.25">
      <c r="C3136" s="906"/>
    </row>
    <row r="3137" spans="3:3" x14ac:dyDescent="0.25">
      <c r="C3137" s="906"/>
    </row>
    <row r="3138" spans="3:3" x14ac:dyDescent="0.25">
      <c r="C3138" s="906"/>
    </row>
    <row r="3139" spans="3:3" x14ac:dyDescent="0.25">
      <c r="C3139" s="906"/>
    </row>
    <row r="3140" spans="3:3" x14ac:dyDescent="0.25">
      <c r="C3140" s="906"/>
    </row>
    <row r="3141" spans="3:3" x14ac:dyDescent="0.25">
      <c r="C3141" s="906"/>
    </row>
    <row r="3142" spans="3:3" x14ac:dyDescent="0.25">
      <c r="C3142" s="906"/>
    </row>
    <row r="3143" spans="3:3" x14ac:dyDescent="0.25">
      <c r="C3143" s="906"/>
    </row>
    <row r="3144" spans="3:3" x14ac:dyDescent="0.25">
      <c r="C3144" s="906"/>
    </row>
    <row r="3145" spans="3:3" x14ac:dyDescent="0.25">
      <c r="C3145" s="906"/>
    </row>
    <row r="3146" spans="3:3" x14ac:dyDescent="0.25">
      <c r="C3146" s="906"/>
    </row>
    <row r="3147" spans="3:3" x14ac:dyDescent="0.25">
      <c r="C3147" s="906"/>
    </row>
    <row r="3148" spans="3:3" x14ac:dyDescent="0.25">
      <c r="C3148" s="906"/>
    </row>
    <row r="3149" spans="3:3" x14ac:dyDescent="0.25">
      <c r="C3149" s="906"/>
    </row>
    <row r="3150" spans="3:3" x14ac:dyDescent="0.25">
      <c r="C3150" s="906"/>
    </row>
    <row r="3151" spans="3:3" x14ac:dyDescent="0.25">
      <c r="C3151" s="906"/>
    </row>
    <row r="3152" spans="3:3" x14ac:dyDescent="0.25">
      <c r="C3152" s="906"/>
    </row>
    <row r="3153" spans="3:3" x14ac:dyDescent="0.25">
      <c r="C3153" s="906"/>
    </row>
    <row r="3154" spans="3:3" x14ac:dyDescent="0.25">
      <c r="C3154" s="906"/>
    </row>
    <row r="3155" spans="3:3" x14ac:dyDescent="0.25">
      <c r="C3155" s="906"/>
    </row>
    <row r="3156" spans="3:3" x14ac:dyDescent="0.25">
      <c r="C3156" s="906"/>
    </row>
    <row r="3157" spans="3:3" x14ac:dyDescent="0.25">
      <c r="C3157" s="906"/>
    </row>
    <row r="3158" spans="3:3" x14ac:dyDescent="0.25">
      <c r="C3158" s="906"/>
    </row>
    <row r="3159" spans="3:3" x14ac:dyDescent="0.25">
      <c r="C3159" s="906"/>
    </row>
    <row r="3160" spans="3:3" x14ac:dyDescent="0.25">
      <c r="C3160" s="906"/>
    </row>
    <row r="3161" spans="3:3" x14ac:dyDescent="0.25">
      <c r="C3161" s="906"/>
    </row>
    <row r="3162" spans="3:3" x14ac:dyDescent="0.25">
      <c r="C3162" s="906"/>
    </row>
    <row r="3163" spans="3:3" x14ac:dyDescent="0.25">
      <c r="C3163" s="906"/>
    </row>
    <row r="3164" spans="3:3" x14ac:dyDescent="0.25">
      <c r="C3164" s="906"/>
    </row>
    <row r="3165" spans="3:3" x14ac:dyDescent="0.25">
      <c r="C3165" s="906"/>
    </row>
    <row r="3166" spans="3:3" x14ac:dyDescent="0.25">
      <c r="C3166" s="906"/>
    </row>
    <row r="3167" spans="3:3" x14ac:dyDescent="0.25">
      <c r="C3167" s="906"/>
    </row>
    <row r="3168" spans="3:3" x14ac:dyDescent="0.25">
      <c r="C3168" s="906"/>
    </row>
    <row r="3169" spans="3:3" x14ac:dyDescent="0.25">
      <c r="C3169" s="906"/>
    </row>
    <row r="3170" spans="3:3" x14ac:dyDescent="0.25">
      <c r="C3170" s="906"/>
    </row>
    <row r="3171" spans="3:3" x14ac:dyDescent="0.25">
      <c r="C3171" s="906"/>
    </row>
    <row r="3172" spans="3:3" x14ac:dyDescent="0.25">
      <c r="C3172" s="906"/>
    </row>
    <row r="3173" spans="3:3" x14ac:dyDescent="0.25">
      <c r="C3173" s="906"/>
    </row>
    <row r="3174" spans="3:3" x14ac:dyDescent="0.25">
      <c r="C3174" s="906"/>
    </row>
    <row r="3175" spans="3:3" x14ac:dyDescent="0.25">
      <c r="C3175" s="906"/>
    </row>
    <row r="3176" spans="3:3" x14ac:dyDescent="0.25">
      <c r="C3176" s="906"/>
    </row>
    <row r="3177" spans="3:3" x14ac:dyDescent="0.25">
      <c r="C3177" s="906"/>
    </row>
    <row r="3178" spans="3:3" x14ac:dyDescent="0.25">
      <c r="C3178" s="906"/>
    </row>
    <row r="3179" spans="3:3" x14ac:dyDescent="0.25">
      <c r="C3179" s="906"/>
    </row>
    <row r="3180" spans="3:3" x14ac:dyDescent="0.25">
      <c r="C3180" s="906"/>
    </row>
    <row r="3181" spans="3:3" x14ac:dyDescent="0.25">
      <c r="C3181" s="906"/>
    </row>
    <row r="3182" spans="3:3" x14ac:dyDescent="0.25">
      <c r="C3182" s="906"/>
    </row>
    <row r="3183" spans="3:3" x14ac:dyDescent="0.25">
      <c r="C3183" s="906"/>
    </row>
    <row r="3184" spans="3:3" x14ac:dyDescent="0.25">
      <c r="C3184" s="906"/>
    </row>
    <row r="3185" spans="3:3" x14ac:dyDescent="0.25">
      <c r="C3185" s="906"/>
    </row>
    <row r="3186" spans="3:3" x14ac:dyDescent="0.25">
      <c r="C3186" s="906"/>
    </row>
    <row r="3187" spans="3:3" x14ac:dyDescent="0.25">
      <c r="C3187" s="906"/>
    </row>
    <row r="3188" spans="3:3" x14ac:dyDescent="0.25">
      <c r="C3188" s="906"/>
    </row>
    <row r="3189" spans="3:3" x14ac:dyDescent="0.25">
      <c r="C3189" s="906"/>
    </row>
    <row r="3190" spans="3:3" x14ac:dyDescent="0.25">
      <c r="C3190" s="906"/>
    </row>
    <row r="3191" spans="3:3" x14ac:dyDescent="0.25">
      <c r="C3191" s="906"/>
    </row>
    <row r="3192" spans="3:3" x14ac:dyDescent="0.25">
      <c r="C3192" s="906"/>
    </row>
    <row r="3193" spans="3:3" x14ac:dyDescent="0.25">
      <c r="C3193" s="906"/>
    </row>
    <row r="3194" spans="3:3" x14ac:dyDescent="0.25">
      <c r="C3194" s="906"/>
    </row>
    <row r="3195" spans="3:3" x14ac:dyDescent="0.25">
      <c r="C3195" s="906"/>
    </row>
    <row r="3196" spans="3:3" x14ac:dyDescent="0.25">
      <c r="C3196" s="906"/>
    </row>
    <row r="3197" spans="3:3" x14ac:dyDescent="0.25">
      <c r="C3197" s="906"/>
    </row>
    <row r="3198" spans="3:3" x14ac:dyDescent="0.25">
      <c r="C3198" s="906"/>
    </row>
    <row r="3199" spans="3:3" x14ac:dyDescent="0.25">
      <c r="C3199" s="906"/>
    </row>
    <row r="3200" spans="3:3" x14ac:dyDescent="0.25">
      <c r="C3200" s="906"/>
    </row>
    <row r="3201" spans="3:3" x14ac:dyDescent="0.25">
      <c r="C3201" s="906"/>
    </row>
    <row r="3202" spans="3:3" x14ac:dyDescent="0.25">
      <c r="C3202" s="906"/>
    </row>
    <row r="3203" spans="3:3" x14ac:dyDescent="0.25">
      <c r="C3203" s="906"/>
    </row>
    <row r="3204" spans="3:3" x14ac:dyDescent="0.25">
      <c r="C3204" s="906"/>
    </row>
    <row r="3205" spans="3:3" x14ac:dyDescent="0.25">
      <c r="C3205" s="906"/>
    </row>
    <row r="3206" spans="3:3" x14ac:dyDescent="0.25">
      <c r="C3206" s="906"/>
    </row>
    <row r="3207" spans="3:3" x14ac:dyDescent="0.25">
      <c r="C3207" s="906"/>
    </row>
    <row r="3208" spans="3:3" x14ac:dyDescent="0.25">
      <c r="C3208" s="906"/>
    </row>
    <row r="3209" spans="3:3" x14ac:dyDescent="0.25">
      <c r="C3209" s="906"/>
    </row>
    <row r="3210" spans="3:3" x14ac:dyDescent="0.25">
      <c r="C3210" s="906"/>
    </row>
    <row r="3211" spans="3:3" x14ac:dyDescent="0.25">
      <c r="C3211" s="906"/>
    </row>
    <row r="3212" spans="3:3" x14ac:dyDescent="0.25">
      <c r="C3212" s="906"/>
    </row>
    <row r="3213" spans="3:3" x14ac:dyDescent="0.25">
      <c r="C3213" s="906"/>
    </row>
    <row r="3214" spans="3:3" x14ac:dyDescent="0.25">
      <c r="C3214" s="906"/>
    </row>
    <row r="3215" spans="3:3" x14ac:dyDescent="0.25">
      <c r="C3215" s="906"/>
    </row>
    <row r="3216" spans="3:3" x14ac:dyDescent="0.25">
      <c r="C3216" s="906"/>
    </row>
    <row r="3217" spans="3:3" x14ac:dyDescent="0.25">
      <c r="C3217" s="906"/>
    </row>
    <row r="3218" spans="3:3" x14ac:dyDescent="0.25">
      <c r="C3218" s="906"/>
    </row>
    <row r="3219" spans="3:3" x14ac:dyDescent="0.25">
      <c r="C3219" s="906"/>
    </row>
    <row r="3220" spans="3:3" x14ac:dyDescent="0.25">
      <c r="C3220" s="906"/>
    </row>
    <row r="3221" spans="3:3" x14ac:dyDescent="0.25">
      <c r="C3221" s="906"/>
    </row>
    <row r="3222" spans="3:3" x14ac:dyDescent="0.25">
      <c r="C3222" s="906"/>
    </row>
    <row r="3223" spans="3:3" x14ac:dyDescent="0.25">
      <c r="C3223" s="906"/>
    </row>
    <row r="3224" spans="3:3" x14ac:dyDescent="0.25">
      <c r="C3224" s="906"/>
    </row>
    <row r="3225" spans="3:3" x14ac:dyDescent="0.25">
      <c r="C3225" s="906"/>
    </row>
    <row r="3226" spans="3:3" x14ac:dyDescent="0.25">
      <c r="C3226" s="906"/>
    </row>
    <row r="3227" spans="3:3" x14ac:dyDescent="0.25">
      <c r="C3227" s="906"/>
    </row>
    <row r="3228" spans="3:3" x14ac:dyDescent="0.25">
      <c r="C3228" s="906"/>
    </row>
    <row r="3229" spans="3:3" x14ac:dyDescent="0.25">
      <c r="C3229" s="906"/>
    </row>
    <row r="3230" spans="3:3" x14ac:dyDescent="0.25">
      <c r="C3230" s="906"/>
    </row>
    <row r="3231" spans="3:3" x14ac:dyDescent="0.25">
      <c r="C3231" s="906"/>
    </row>
    <row r="3232" spans="3:3" x14ac:dyDescent="0.25">
      <c r="C3232" s="906"/>
    </row>
    <row r="3233" spans="3:3" x14ac:dyDescent="0.25">
      <c r="C3233" s="906"/>
    </row>
    <row r="3234" spans="3:3" x14ac:dyDescent="0.25">
      <c r="C3234" s="906"/>
    </row>
    <row r="3235" spans="3:3" x14ac:dyDescent="0.25">
      <c r="C3235" s="906"/>
    </row>
    <row r="3236" spans="3:3" x14ac:dyDescent="0.25">
      <c r="C3236" s="906"/>
    </row>
    <row r="3237" spans="3:3" x14ac:dyDescent="0.25">
      <c r="C3237" s="906"/>
    </row>
    <row r="3238" spans="3:3" x14ac:dyDescent="0.25">
      <c r="C3238" s="906"/>
    </row>
    <row r="3239" spans="3:3" x14ac:dyDescent="0.25">
      <c r="C3239" s="906"/>
    </row>
    <row r="3240" spans="3:3" x14ac:dyDescent="0.25">
      <c r="C3240" s="906"/>
    </row>
    <row r="3241" spans="3:3" x14ac:dyDescent="0.25">
      <c r="C3241" s="906"/>
    </row>
    <row r="3242" spans="3:3" x14ac:dyDescent="0.25">
      <c r="C3242" s="906"/>
    </row>
    <row r="3243" spans="3:3" x14ac:dyDescent="0.25">
      <c r="C3243" s="906"/>
    </row>
    <row r="3244" spans="3:3" x14ac:dyDescent="0.25">
      <c r="C3244" s="906"/>
    </row>
    <row r="3245" spans="3:3" x14ac:dyDescent="0.25">
      <c r="C3245" s="906"/>
    </row>
    <row r="3246" spans="3:3" x14ac:dyDescent="0.25">
      <c r="C3246" s="906"/>
    </row>
    <row r="3247" spans="3:3" x14ac:dyDescent="0.25">
      <c r="C3247" s="906"/>
    </row>
    <row r="3248" spans="3:3" x14ac:dyDescent="0.25">
      <c r="C3248" s="906"/>
    </row>
    <row r="3249" spans="3:3" x14ac:dyDescent="0.25">
      <c r="C3249" s="906"/>
    </row>
    <row r="3250" spans="3:3" x14ac:dyDescent="0.25">
      <c r="C3250" s="906"/>
    </row>
    <row r="3251" spans="3:3" x14ac:dyDescent="0.25">
      <c r="C3251" s="906"/>
    </row>
    <row r="3252" spans="3:3" x14ac:dyDescent="0.25">
      <c r="C3252" s="906"/>
    </row>
    <row r="3253" spans="3:3" x14ac:dyDescent="0.25">
      <c r="C3253" s="906"/>
    </row>
    <row r="3254" spans="3:3" x14ac:dyDescent="0.25">
      <c r="C3254" s="906"/>
    </row>
    <row r="3255" spans="3:3" x14ac:dyDescent="0.25">
      <c r="C3255" s="906"/>
    </row>
    <row r="3256" spans="3:3" x14ac:dyDescent="0.25">
      <c r="C3256" s="906"/>
    </row>
    <row r="3257" spans="3:3" x14ac:dyDescent="0.25">
      <c r="C3257" s="906"/>
    </row>
    <row r="3258" spans="3:3" x14ac:dyDescent="0.25">
      <c r="C3258" s="906"/>
    </row>
    <row r="3259" spans="3:3" x14ac:dyDescent="0.25">
      <c r="C3259" s="906"/>
    </row>
    <row r="3260" spans="3:3" x14ac:dyDescent="0.25">
      <c r="C3260" s="906"/>
    </row>
    <row r="3261" spans="3:3" x14ac:dyDescent="0.25">
      <c r="C3261" s="906"/>
    </row>
    <row r="3262" spans="3:3" x14ac:dyDescent="0.25">
      <c r="C3262" s="906"/>
    </row>
    <row r="3263" spans="3:3" x14ac:dyDescent="0.25">
      <c r="C3263" s="906"/>
    </row>
    <row r="3264" spans="3:3" x14ac:dyDescent="0.25">
      <c r="C3264" s="906"/>
    </row>
    <row r="3265" spans="3:3" x14ac:dyDescent="0.25">
      <c r="C3265" s="906"/>
    </row>
    <row r="3266" spans="3:3" x14ac:dyDescent="0.25">
      <c r="C3266" s="906"/>
    </row>
    <row r="3267" spans="3:3" x14ac:dyDescent="0.25">
      <c r="C3267" s="906"/>
    </row>
    <row r="3268" spans="3:3" x14ac:dyDescent="0.25">
      <c r="C3268" s="906"/>
    </row>
    <row r="3269" spans="3:3" x14ac:dyDescent="0.25">
      <c r="C3269" s="906"/>
    </row>
    <row r="3270" spans="3:3" x14ac:dyDescent="0.25">
      <c r="C3270" s="906"/>
    </row>
    <row r="3271" spans="3:3" x14ac:dyDescent="0.25">
      <c r="C3271" s="906"/>
    </row>
    <row r="3272" spans="3:3" x14ac:dyDescent="0.25">
      <c r="C3272" s="906"/>
    </row>
    <row r="3273" spans="3:3" x14ac:dyDescent="0.25">
      <c r="C3273" s="906"/>
    </row>
    <row r="3274" spans="3:3" x14ac:dyDescent="0.25">
      <c r="C3274" s="906"/>
    </row>
    <row r="3275" spans="3:3" x14ac:dyDescent="0.25">
      <c r="C3275" s="906"/>
    </row>
    <row r="3276" spans="3:3" x14ac:dyDescent="0.25">
      <c r="C3276" s="906"/>
    </row>
    <row r="3277" spans="3:3" x14ac:dyDescent="0.25">
      <c r="C3277" s="906"/>
    </row>
    <row r="3278" spans="3:3" x14ac:dyDescent="0.25">
      <c r="C3278" s="906"/>
    </row>
    <row r="3279" spans="3:3" x14ac:dyDescent="0.25">
      <c r="C3279" s="906"/>
    </row>
    <row r="3280" spans="3:3" x14ac:dyDescent="0.25">
      <c r="C3280" s="906"/>
    </row>
    <row r="3281" spans="3:3" x14ac:dyDescent="0.25">
      <c r="C3281" s="906"/>
    </row>
    <row r="3282" spans="3:3" x14ac:dyDescent="0.25">
      <c r="C3282" s="906"/>
    </row>
    <row r="3283" spans="3:3" x14ac:dyDescent="0.25">
      <c r="C3283" s="906"/>
    </row>
    <row r="3284" spans="3:3" x14ac:dyDescent="0.25">
      <c r="C3284" s="906"/>
    </row>
    <row r="3285" spans="3:3" x14ac:dyDescent="0.25">
      <c r="C3285" s="906"/>
    </row>
    <row r="3286" spans="3:3" x14ac:dyDescent="0.25">
      <c r="C3286" s="906"/>
    </row>
    <row r="3287" spans="3:3" x14ac:dyDescent="0.25">
      <c r="C3287" s="906"/>
    </row>
    <row r="3288" spans="3:3" x14ac:dyDescent="0.25">
      <c r="C3288" s="906"/>
    </row>
    <row r="3289" spans="3:3" x14ac:dyDescent="0.25">
      <c r="C3289" s="906"/>
    </row>
    <row r="3290" spans="3:3" x14ac:dyDescent="0.25">
      <c r="C3290" s="906"/>
    </row>
    <row r="3291" spans="3:3" x14ac:dyDescent="0.25">
      <c r="C3291" s="906"/>
    </row>
    <row r="3292" spans="3:3" x14ac:dyDescent="0.25">
      <c r="C3292" s="906"/>
    </row>
    <row r="3293" spans="3:3" x14ac:dyDescent="0.25">
      <c r="C3293" s="906"/>
    </row>
    <row r="3294" spans="3:3" x14ac:dyDescent="0.25">
      <c r="C3294" s="906"/>
    </row>
    <row r="3295" spans="3:3" x14ac:dyDescent="0.25">
      <c r="C3295" s="906"/>
    </row>
    <row r="3296" spans="3:3" x14ac:dyDescent="0.25">
      <c r="C3296" s="906"/>
    </row>
    <row r="3297" spans="3:3" x14ac:dyDescent="0.25">
      <c r="C3297" s="906"/>
    </row>
    <row r="3298" spans="3:3" x14ac:dyDescent="0.25">
      <c r="C3298" s="906"/>
    </row>
    <row r="3299" spans="3:3" x14ac:dyDescent="0.25">
      <c r="C3299" s="906"/>
    </row>
    <row r="3300" spans="3:3" x14ac:dyDescent="0.25">
      <c r="C3300" s="906"/>
    </row>
    <row r="3301" spans="3:3" x14ac:dyDescent="0.25">
      <c r="C3301" s="906"/>
    </row>
    <row r="3302" spans="3:3" x14ac:dyDescent="0.25">
      <c r="C3302" s="906"/>
    </row>
    <row r="3303" spans="3:3" x14ac:dyDescent="0.25">
      <c r="C3303" s="906"/>
    </row>
    <row r="3304" spans="3:3" x14ac:dyDescent="0.25">
      <c r="C3304" s="906"/>
    </row>
    <row r="3305" spans="3:3" x14ac:dyDescent="0.25">
      <c r="C3305" s="906"/>
    </row>
    <row r="3306" spans="3:3" x14ac:dyDescent="0.25">
      <c r="C3306" s="906"/>
    </row>
    <row r="3307" spans="3:3" x14ac:dyDescent="0.25">
      <c r="C3307" s="906"/>
    </row>
    <row r="3308" spans="3:3" x14ac:dyDescent="0.25">
      <c r="C3308" s="906"/>
    </row>
    <row r="3309" spans="3:3" x14ac:dyDescent="0.25">
      <c r="C3309" s="906"/>
    </row>
    <row r="3310" spans="3:3" x14ac:dyDescent="0.25">
      <c r="C3310" s="906"/>
    </row>
    <row r="3311" spans="3:3" x14ac:dyDescent="0.25">
      <c r="C3311" s="906"/>
    </row>
    <row r="3312" spans="3:3" x14ac:dyDescent="0.25">
      <c r="C3312" s="906"/>
    </row>
    <row r="3313" spans="3:3" x14ac:dyDescent="0.25">
      <c r="C3313" s="906"/>
    </row>
    <row r="3314" spans="3:3" x14ac:dyDescent="0.25">
      <c r="C3314" s="906"/>
    </row>
    <row r="3315" spans="3:3" x14ac:dyDescent="0.25">
      <c r="C3315" s="906"/>
    </row>
    <row r="3316" spans="3:3" x14ac:dyDescent="0.25">
      <c r="C3316" s="906"/>
    </row>
    <row r="3317" spans="3:3" x14ac:dyDescent="0.25">
      <c r="C3317" s="906"/>
    </row>
    <row r="3318" spans="3:3" x14ac:dyDescent="0.25">
      <c r="C3318" s="906"/>
    </row>
    <row r="3319" spans="3:3" x14ac:dyDescent="0.25">
      <c r="C3319" s="906"/>
    </row>
    <row r="3320" spans="3:3" x14ac:dyDescent="0.25">
      <c r="C3320" s="906"/>
    </row>
    <row r="3321" spans="3:3" x14ac:dyDescent="0.25">
      <c r="C3321" s="906"/>
    </row>
    <row r="3322" spans="3:3" x14ac:dyDescent="0.25">
      <c r="C3322" s="906"/>
    </row>
    <row r="3323" spans="3:3" x14ac:dyDescent="0.25">
      <c r="C3323" s="906"/>
    </row>
    <row r="3324" spans="3:3" x14ac:dyDescent="0.25">
      <c r="C3324" s="906"/>
    </row>
    <row r="3325" spans="3:3" x14ac:dyDescent="0.25">
      <c r="C3325" s="906"/>
    </row>
    <row r="3326" spans="3:3" x14ac:dyDescent="0.25">
      <c r="C3326" s="906"/>
    </row>
    <row r="3327" spans="3:3" x14ac:dyDescent="0.25">
      <c r="C3327" s="906"/>
    </row>
    <row r="3328" spans="3:3" x14ac:dyDescent="0.25">
      <c r="C3328" s="906"/>
    </row>
    <row r="3329" spans="3:3" x14ac:dyDescent="0.25">
      <c r="C3329" s="906"/>
    </row>
    <row r="3330" spans="3:3" x14ac:dyDescent="0.25">
      <c r="C3330" s="906"/>
    </row>
    <row r="3331" spans="3:3" x14ac:dyDescent="0.25">
      <c r="C3331" s="906"/>
    </row>
    <row r="3332" spans="3:3" x14ac:dyDescent="0.25">
      <c r="C3332" s="906"/>
    </row>
    <row r="3333" spans="3:3" x14ac:dyDescent="0.25">
      <c r="C3333" s="906"/>
    </row>
    <row r="3334" spans="3:3" x14ac:dyDescent="0.25">
      <c r="C3334" s="906"/>
    </row>
    <row r="3335" spans="3:3" x14ac:dyDescent="0.25">
      <c r="C3335" s="906"/>
    </row>
    <row r="3336" spans="3:3" x14ac:dyDescent="0.25">
      <c r="C3336" s="906"/>
    </row>
    <row r="3337" spans="3:3" x14ac:dyDescent="0.25">
      <c r="C3337" s="906"/>
    </row>
    <row r="3338" spans="3:3" x14ac:dyDescent="0.25">
      <c r="C3338" s="906"/>
    </row>
    <row r="3339" spans="3:3" x14ac:dyDescent="0.25">
      <c r="C3339" s="906"/>
    </row>
    <row r="3340" spans="3:3" x14ac:dyDescent="0.25">
      <c r="C3340" s="906"/>
    </row>
    <row r="3341" spans="3:3" x14ac:dyDescent="0.25">
      <c r="C3341" s="906"/>
    </row>
    <row r="3342" spans="3:3" x14ac:dyDescent="0.25">
      <c r="C3342" s="906"/>
    </row>
    <row r="3343" spans="3:3" x14ac:dyDescent="0.25">
      <c r="C3343" s="906"/>
    </row>
    <row r="3344" spans="3:3" x14ac:dyDescent="0.25">
      <c r="C3344" s="906"/>
    </row>
    <row r="3345" spans="3:3" x14ac:dyDescent="0.25">
      <c r="C3345" s="906"/>
    </row>
    <row r="3346" spans="3:3" x14ac:dyDescent="0.25">
      <c r="C3346" s="906"/>
    </row>
    <row r="3347" spans="3:3" x14ac:dyDescent="0.25">
      <c r="C3347" s="906"/>
    </row>
    <row r="3348" spans="3:3" x14ac:dyDescent="0.25">
      <c r="C3348" s="906"/>
    </row>
    <row r="3349" spans="3:3" x14ac:dyDescent="0.25">
      <c r="C3349" s="906"/>
    </row>
    <row r="3350" spans="3:3" x14ac:dyDescent="0.25">
      <c r="C3350" s="906"/>
    </row>
    <row r="3351" spans="3:3" x14ac:dyDescent="0.25">
      <c r="C3351" s="906"/>
    </row>
    <row r="3352" spans="3:3" x14ac:dyDescent="0.25">
      <c r="C3352" s="906"/>
    </row>
    <row r="3353" spans="3:3" x14ac:dyDescent="0.25">
      <c r="C3353" s="906"/>
    </row>
    <row r="3354" spans="3:3" x14ac:dyDescent="0.25">
      <c r="C3354" s="906"/>
    </row>
    <row r="3355" spans="3:3" x14ac:dyDescent="0.25">
      <c r="C3355" s="906"/>
    </row>
    <row r="3356" spans="3:3" x14ac:dyDescent="0.25">
      <c r="C3356" s="906"/>
    </row>
    <row r="3357" spans="3:3" x14ac:dyDescent="0.25">
      <c r="C3357" s="906"/>
    </row>
    <row r="3358" spans="3:3" x14ac:dyDescent="0.25">
      <c r="C3358" s="906"/>
    </row>
    <row r="3359" spans="3:3" x14ac:dyDescent="0.25">
      <c r="C3359" s="906"/>
    </row>
    <row r="3360" spans="3:3" x14ac:dyDescent="0.25">
      <c r="C3360" s="906"/>
    </row>
    <row r="3361" spans="3:3" x14ac:dyDescent="0.25">
      <c r="C3361" s="906"/>
    </row>
    <row r="3362" spans="3:3" x14ac:dyDescent="0.25">
      <c r="C3362" s="906"/>
    </row>
    <row r="3363" spans="3:3" x14ac:dyDescent="0.25">
      <c r="C3363" s="906"/>
    </row>
    <row r="3364" spans="3:3" x14ac:dyDescent="0.25">
      <c r="C3364" s="906"/>
    </row>
    <row r="3365" spans="3:3" x14ac:dyDescent="0.25">
      <c r="C3365" s="906"/>
    </row>
    <row r="3366" spans="3:3" x14ac:dyDescent="0.25">
      <c r="C3366" s="906"/>
    </row>
    <row r="3367" spans="3:3" x14ac:dyDescent="0.25">
      <c r="C3367" s="906"/>
    </row>
    <row r="3368" spans="3:3" x14ac:dyDescent="0.25">
      <c r="C3368" s="906"/>
    </row>
    <row r="3369" spans="3:3" x14ac:dyDescent="0.25">
      <c r="C3369" s="906"/>
    </row>
    <row r="3370" spans="3:3" x14ac:dyDescent="0.25">
      <c r="C3370" s="906"/>
    </row>
    <row r="3371" spans="3:3" x14ac:dyDescent="0.25">
      <c r="C3371" s="906"/>
    </row>
    <row r="3372" spans="3:3" x14ac:dyDescent="0.25">
      <c r="C3372" s="906"/>
    </row>
    <row r="3373" spans="3:3" x14ac:dyDescent="0.25">
      <c r="C3373" s="906"/>
    </row>
    <row r="3374" spans="3:3" x14ac:dyDescent="0.25">
      <c r="C3374" s="906"/>
    </row>
    <row r="3375" spans="3:3" x14ac:dyDescent="0.25">
      <c r="C3375" s="906"/>
    </row>
    <row r="3376" spans="3:3" x14ac:dyDescent="0.25">
      <c r="C3376" s="906"/>
    </row>
    <row r="3377" spans="3:3" x14ac:dyDescent="0.25">
      <c r="C3377" s="906"/>
    </row>
    <row r="3378" spans="3:3" x14ac:dyDescent="0.25">
      <c r="C3378" s="906"/>
    </row>
    <row r="3379" spans="3:3" x14ac:dyDescent="0.25">
      <c r="C3379" s="906"/>
    </row>
    <row r="3380" spans="3:3" x14ac:dyDescent="0.25">
      <c r="C3380" s="906"/>
    </row>
    <row r="3381" spans="3:3" x14ac:dyDescent="0.25">
      <c r="C3381" s="906"/>
    </row>
    <row r="3382" spans="3:3" x14ac:dyDescent="0.25">
      <c r="C3382" s="906"/>
    </row>
    <row r="3383" spans="3:3" x14ac:dyDescent="0.25">
      <c r="C3383" s="906"/>
    </row>
    <row r="3384" spans="3:3" x14ac:dyDescent="0.25">
      <c r="C3384" s="906"/>
    </row>
    <row r="3385" spans="3:3" x14ac:dyDescent="0.25">
      <c r="C3385" s="906"/>
    </row>
    <row r="3386" spans="3:3" x14ac:dyDescent="0.25">
      <c r="C3386" s="906"/>
    </row>
    <row r="3387" spans="3:3" x14ac:dyDescent="0.25">
      <c r="C3387" s="906"/>
    </row>
    <row r="3388" spans="3:3" x14ac:dyDescent="0.25">
      <c r="C3388" s="906"/>
    </row>
    <row r="3389" spans="3:3" x14ac:dyDescent="0.25">
      <c r="C3389" s="906"/>
    </row>
    <row r="3390" spans="3:3" x14ac:dyDescent="0.25">
      <c r="C3390" s="906"/>
    </row>
    <row r="3391" spans="3:3" x14ac:dyDescent="0.25">
      <c r="C3391" s="906"/>
    </row>
    <row r="3392" spans="3:3" x14ac:dyDescent="0.25">
      <c r="C3392" s="906"/>
    </row>
    <row r="3393" spans="3:3" x14ac:dyDescent="0.25">
      <c r="C3393" s="906"/>
    </row>
    <row r="3394" spans="3:3" x14ac:dyDescent="0.25">
      <c r="C3394" s="906"/>
    </row>
    <row r="3395" spans="3:3" x14ac:dyDescent="0.25">
      <c r="C3395" s="906"/>
    </row>
    <row r="3396" spans="3:3" x14ac:dyDescent="0.25">
      <c r="C3396" s="906"/>
    </row>
    <row r="3397" spans="3:3" x14ac:dyDescent="0.25">
      <c r="C3397" s="906"/>
    </row>
    <row r="3398" spans="3:3" x14ac:dyDescent="0.25">
      <c r="C3398" s="906"/>
    </row>
    <row r="3399" spans="3:3" x14ac:dyDescent="0.25">
      <c r="C3399" s="906"/>
    </row>
    <row r="3400" spans="3:3" x14ac:dyDescent="0.25">
      <c r="C3400" s="906"/>
    </row>
    <row r="3401" spans="3:3" x14ac:dyDescent="0.25">
      <c r="C3401" s="906"/>
    </row>
    <row r="3402" spans="3:3" x14ac:dyDescent="0.25">
      <c r="C3402" s="906"/>
    </row>
    <row r="3403" spans="3:3" x14ac:dyDescent="0.25">
      <c r="C3403" s="906"/>
    </row>
    <row r="3404" spans="3:3" x14ac:dyDescent="0.25">
      <c r="C3404" s="906"/>
    </row>
    <row r="3405" spans="3:3" x14ac:dyDescent="0.25">
      <c r="C3405" s="906"/>
    </row>
    <row r="3406" spans="3:3" x14ac:dyDescent="0.25">
      <c r="C3406" s="906"/>
    </row>
    <row r="3407" spans="3:3" x14ac:dyDescent="0.25">
      <c r="C3407" s="906"/>
    </row>
    <row r="3408" spans="3:3" x14ac:dyDescent="0.25">
      <c r="C3408" s="906"/>
    </row>
    <row r="3409" spans="3:3" x14ac:dyDescent="0.25">
      <c r="C3409" s="906"/>
    </row>
    <row r="3410" spans="3:3" x14ac:dyDescent="0.25">
      <c r="C3410" s="906"/>
    </row>
    <row r="3411" spans="3:3" x14ac:dyDescent="0.25">
      <c r="C3411" s="906"/>
    </row>
    <row r="3412" spans="3:3" x14ac:dyDescent="0.25">
      <c r="C3412" s="906"/>
    </row>
    <row r="3413" spans="3:3" x14ac:dyDescent="0.25">
      <c r="C3413" s="906"/>
    </row>
    <row r="3414" spans="3:3" x14ac:dyDescent="0.25">
      <c r="C3414" s="906"/>
    </row>
    <row r="3415" spans="3:3" x14ac:dyDescent="0.25">
      <c r="C3415" s="906"/>
    </row>
    <row r="3416" spans="3:3" x14ac:dyDescent="0.25">
      <c r="C3416" s="906"/>
    </row>
    <row r="3417" spans="3:3" x14ac:dyDescent="0.25">
      <c r="C3417" s="906"/>
    </row>
    <row r="3418" spans="3:3" x14ac:dyDescent="0.25">
      <c r="C3418" s="906"/>
    </row>
    <row r="3419" spans="3:3" x14ac:dyDescent="0.25">
      <c r="C3419" s="906"/>
    </row>
    <row r="3420" spans="3:3" x14ac:dyDescent="0.25">
      <c r="C3420" s="906"/>
    </row>
    <row r="3421" spans="3:3" x14ac:dyDescent="0.25">
      <c r="C3421" s="906"/>
    </row>
    <row r="3422" spans="3:3" x14ac:dyDescent="0.25">
      <c r="C3422" s="906"/>
    </row>
    <row r="3423" spans="3:3" x14ac:dyDescent="0.25">
      <c r="C3423" s="906"/>
    </row>
    <row r="3424" spans="3:3" x14ac:dyDescent="0.25">
      <c r="C3424" s="906"/>
    </row>
    <row r="3425" spans="3:3" x14ac:dyDescent="0.25">
      <c r="C3425" s="906"/>
    </row>
    <row r="3426" spans="3:3" x14ac:dyDescent="0.25">
      <c r="C3426" s="906"/>
    </row>
    <row r="3427" spans="3:3" x14ac:dyDescent="0.25">
      <c r="C3427" s="906"/>
    </row>
    <row r="3428" spans="3:3" x14ac:dyDescent="0.25">
      <c r="C3428" s="906"/>
    </row>
    <row r="3429" spans="3:3" x14ac:dyDescent="0.25">
      <c r="C3429" s="906"/>
    </row>
    <row r="3430" spans="3:3" x14ac:dyDescent="0.25">
      <c r="C3430" s="906"/>
    </row>
    <row r="3431" spans="3:3" x14ac:dyDescent="0.25">
      <c r="C3431" s="906"/>
    </row>
    <row r="3432" spans="3:3" x14ac:dyDescent="0.25">
      <c r="C3432" s="906"/>
    </row>
    <row r="3433" spans="3:3" x14ac:dyDescent="0.25">
      <c r="C3433" s="906"/>
    </row>
    <row r="3434" spans="3:3" x14ac:dyDescent="0.25">
      <c r="C3434" s="906"/>
    </row>
    <row r="3435" spans="3:3" x14ac:dyDescent="0.25">
      <c r="C3435" s="906"/>
    </row>
    <row r="3436" spans="3:3" x14ac:dyDescent="0.25">
      <c r="C3436" s="906"/>
    </row>
    <row r="3437" spans="3:3" x14ac:dyDescent="0.25">
      <c r="C3437" s="906"/>
    </row>
    <row r="3438" spans="3:3" x14ac:dyDescent="0.25">
      <c r="C3438" s="906"/>
    </row>
    <row r="3439" spans="3:3" x14ac:dyDescent="0.25">
      <c r="C3439" s="906"/>
    </row>
    <row r="3440" spans="3:3" x14ac:dyDescent="0.25">
      <c r="C3440" s="906"/>
    </row>
    <row r="3441" spans="3:3" x14ac:dyDescent="0.25">
      <c r="C3441" s="906"/>
    </row>
    <row r="3442" spans="3:3" x14ac:dyDescent="0.25">
      <c r="C3442" s="906"/>
    </row>
    <row r="3443" spans="3:3" x14ac:dyDescent="0.25">
      <c r="C3443" s="906"/>
    </row>
    <row r="3444" spans="3:3" x14ac:dyDescent="0.25">
      <c r="C3444" s="906"/>
    </row>
    <row r="3445" spans="3:3" x14ac:dyDescent="0.25">
      <c r="C3445" s="906"/>
    </row>
    <row r="3446" spans="3:3" x14ac:dyDescent="0.25">
      <c r="C3446" s="906"/>
    </row>
    <row r="3447" spans="3:3" x14ac:dyDescent="0.25">
      <c r="C3447" s="906"/>
    </row>
    <row r="3448" spans="3:3" x14ac:dyDescent="0.25">
      <c r="C3448" s="906"/>
    </row>
    <row r="3449" spans="3:3" x14ac:dyDescent="0.25">
      <c r="C3449" s="906"/>
    </row>
    <row r="3450" spans="3:3" x14ac:dyDescent="0.25">
      <c r="C3450" s="906"/>
    </row>
    <row r="3451" spans="3:3" x14ac:dyDescent="0.25">
      <c r="C3451" s="906"/>
    </row>
    <row r="3452" spans="3:3" x14ac:dyDescent="0.25">
      <c r="C3452" s="906"/>
    </row>
    <row r="3453" spans="3:3" x14ac:dyDescent="0.25">
      <c r="C3453" s="906"/>
    </row>
    <row r="3454" spans="3:3" x14ac:dyDescent="0.25">
      <c r="C3454" s="906"/>
    </row>
    <row r="3455" spans="3:3" x14ac:dyDescent="0.25">
      <c r="C3455" s="906"/>
    </row>
    <row r="3456" spans="3:3" x14ac:dyDescent="0.25">
      <c r="C3456" s="906"/>
    </row>
    <row r="3457" spans="3:3" x14ac:dyDescent="0.25">
      <c r="C3457" s="906"/>
    </row>
    <row r="3458" spans="3:3" x14ac:dyDescent="0.25">
      <c r="C3458" s="906"/>
    </row>
    <row r="3459" spans="3:3" x14ac:dyDescent="0.25">
      <c r="C3459" s="906"/>
    </row>
    <row r="3460" spans="3:3" x14ac:dyDescent="0.25">
      <c r="C3460" s="906"/>
    </row>
    <row r="3461" spans="3:3" x14ac:dyDescent="0.25">
      <c r="C3461" s="906"/>
    </row>
    <row r="3462" spans="3:3" x14ac:dyDescent="0.25">
      <c r="C3462" s="906"/>
    </row>
    <row r="3463" spans="3:3" x14ac:dyDescent="0.25">
      <c r="C3463" s="906"/>
    </row>
    <row r="3464" spans="3:3" x14ac:dyDescent="0.25">
      <c r="C3464" s="906"/>
    </row>
    <row r="3465" spans="3:3" x14ac:dyDescent="0.25">
      <c r="C3465" s="906"/>
    </row>
    <row r="3466" spans="3:3" x14ac:dyDescent="0.25">
      <c r="C3466" s="906"/>
    </row>
    <row r="3467" spans="3:3" x14ac:dyDescent="0.25">
      <c r="C3467" s="906"/>
    </row>
    <row r="3468" spans="3:3" x14ac:dyDescent="0.25">
      <c r="C3468" s="906"/>
    </row>
    <row r="3469" spans="3:3" x14ac:dyDescent="0.25">
      <c r="C3469" s="906"/>
    </row>
    <row r="3470" spans="3:3" x14ac:dyDescent="0.25">
      <c r="C3470" s="906"/>
    </row>
    <row r="3471" spans="3:3" x14ac:dyDescent="0.25">
      <c r="C3471" s="906"/>
    </row>
    <row r="3472" spans="3:3" x14ac:dyDescent="0.25">
      <c r="C3472" s="906"/>
    </row>
    <row r="3473" spans="3:3" x14ac:dyDescent="0.25">
      <c r="C3473" s="906"/>
    </row>
    <row r="3474" spans="3:3" x14ac:dyDescent="0.25">
      <c r="C3474" s="906"/>
    </row>
    <row r="3475" spans="3:3" x14ac:dyDescent="0.25">
      <c r="C3475" s="906"/>
    </row>
    <row r="3476" spans="3:3" x14ac:dyDescent="0.25">
      <c r="C3476" s="906"/>
    </row>
    <row r="3477" spans="3:3" x14ac:dyDescent="0.25">
      <c r="C3477" s="906"/>
    </row>
    <row r="3478" spans="3:3" x14ac:dyDescent="0.25">
      <c r="C3478" s="906"/>
    </row>
    <row r="3479" spans="3:3" x14ac:dyDescent="0.25">
      <c r="C3479" s="906"/>
    </row>
    <row r="3480" spans="3:3" x14ac:dyDescent="0.25">
      <c r="C3480" s="906"/>
    </row>
    <row r="3481" spans="3:3" x14ac:dyDescent="0.25">
      <c r="C3481" s="906"/>
    </row>
    <row r="3482" spans="3:3" x14ac:dyDescent="0.25">
      <c r="C3482" s="906"/>
    </row>
    <row r="3483" spans="3:3" x14ac:dyDescent="0.25">
      <c r="C3483" s="906"/>
    </row>
    <row r="3484" spans="3:3" x14ac:dyDescent="0.25">
      <c r="C3484" s="906"/>
    </row>
    <row r="3485" spans="3:3" x14ac:dyDescent="0.25">
      <c r="C3485" s="906"/>
    </row>
    <row r="3486" spans="3:3" x14ac:dyDescent="0.25">
      <c r="C3486" s="906"/>
    </row>
    <row r="3487" spans="3:3" x14ac:dyDescent="0.25">
      <c r="C3487" s="906"/>
    </row>
    <row r="3488" spans="3:3" x14ac:dyDescent="0.25">
      <c r="C3488" s="906"/>
    </row>
    <row r="3489" spans="3:3" x14ac:dyDescent="0.25">
      <c r="C3489" s="906"/>
    </row>
    <row r="3490" spans="3:3" x14ac:dyDescent="0.25">
      <c r="C3490" s="906"/>
    </row>
    <row r="3491" spans="3:3" x14ac:dyDescent="0.25">
      <c r="C3491" s="906"/>
    </row>
    <row r="3492" spans="3:3" x14ac:dyDescent="0.25">
      <c r="C3492" s="906"/>
    </row>
    <row r="3493" spans="3:3" x14ac:dyDescent="0.25">
      <c r="C3493" s="906"/>
    </row>
    <row r="3494" spans="3:3" x14ac:dyDescent="0.25">
      <c r="C3494" s="906"/>
    </row>
    <row r="3495" spans="3:3" x14ac:dyDescent="0.25">
      <c r="C3495" s="906"/>
    </row>
    <row r="3496" spans="3:3" x14ac:dyDescent="0.25">
      <c r="C3496" s="906"/>
    </row>
    <row r="3497" spans="3:3" x14ac:dyDescent="0.25">
      <c r="C3497" s="906"/>
    </row>
    <row r="3498" spans="3:3" x14ac:dyDescent="0.25">
      <c r="C3498" s="906"/>
    </row>
    <row r="3499" spans="3:3" x14ac:dyDescent="0.25">
      <c r="C3499" s="906"/>
    </row>
    <row r="3500" spans="3:3" x14ac:dyDescent="0.25">
      <c r="C3500" s="906"/>
    </row>
    <row r="3501" spans="3:3" x14ac:dyDescent="0.25">
      <c r="C3501" s="906"/>
    </row>
    <row r="3502" spans="3:3" x14ac:dyDescent="0.25">
      <c r="C3502" s="906"/>
    </row>
    <row r="3503" spans="3:3" x14ac:dyDescent="0.25">
      <c r="C3503" s="906"/>
    </row>
    <row r="3504" spans="3:3" x14ac:dyDescent="0.25">
      <c r="C3504" s="906"/>
    </row>
    <row r="3505" spans="3:3" x14ac:dyDescent="0.25">
      <c r="C3505" s="906"/>
    </row>
    <row r="3506" spans="3:3" x14ac:dyDescent="0.25">
      <c r="C3506" s="906"/>
    </row>
    <row r="3507" spans="3:3" x14ac:dyDescent="0.25">
      <c r="C3507" s="906"/>
    </row>
    <row r="3508" spans="3:3" x14ac:dyDescent="0.25">
      <c r="C3508" s="906"/>
    </row>
    <row r="3509" spans="3:3" x14ac:dyDescent="0.25">
      <c r="C3509" s="906"/>
    </row>
    <row r="3510" spans="3:3" x14ac:dyDescent="0.25">
      <c r="C3510" s="906"/>
    </row>
    <row r="3511" spans="3:3" x14ac:dyDescent="0.25">
      <c r="C3511" s="906"/>
    </row>
    <row r="3512" spans="3:3" x14ac:dyDescent="0.25">
      <c r="C3512" s="906"/>
    </row>
    <row r="3513" spans="3:3" x14ac:dyDescent="0.25">
      <c r="C3513" s="906"/>
    </row>
    <row r="3514" spans="3:3" x14ac:dyDescent="0.25">
      <c r="C3514" s="906"/>
    </row>
    <row r="3515" spans="3:3" x14ac:dyDescent="0.25">
      <c r="C3515" s="906"/>
    </row>
    <row r="3516" spans="3:3" x14ac:dyDescent="0.25">
      <c r="C3516" s="906"/>
    </row>
    <row r="3517" spans="3:3" x14ac:dyDescent="0.25">
      <c r="C3517" s="906"/>
    </row>
    <row r="3518" spans="3:3" x14ac:dyDescent="0.25">
      <c r="C3518" s="906"/>
    </row>
    <row r="3519" spans="3:3" x14ac:dyDescent="0.25">
      <c r="C3519" s="906"/>
    </row>
    <row r="3520" spans="3:3" x14ac:dyDescent="0.25">
      <c r="C3520" s="906"/>
    </row>
    <row r="3521" spans="3:3" x14ac:dyDescent="0.25">
      <c r="C3521" s="906"/>
    </row>
    <row r="3522" spans="3:3" x14ac:dyDescent="0.25">
      <c r="C3522" s="906"/>
    </row>
    <row r="3523" spans="3:3" x14ac:dyDescent="0.25">
      <c r="C3523" s="906"/>
    </row>
    <row r="3524" spans="3:3" x14ac:dyDescent="0.25">
      <c r="C3524" s="906"/>
    </row>
    <row r="3525" spans="3:3" x14ac:dyDescent="0.25">
      <c r="C3525" s="906"/>
    </row>
    <row r="3526" spans="3:3" x14ac:dyDescent="0.25">
      <c r="C3526" s="906"/>
    </row>
    <row r="3527" spans="3:3" x14ac:dyDescent="0.25">
      <c r="C3527" s="906"/>
    </row>
    <row r="3528" spans="3:3" x14ac:dyDescent="0.25">
      <c r="C3528" s="906"/>
    </row>
    <row r="3529" spans="3:3" x14ac:dyDescent="0.25">
      <c r="C3529" s="906"/>
    </row>
    <row r="3530" spans="3:3" x14ac:dyDescent="0.25">
      <c r="C3530" s="906"/>
    </row>
    <row r="3531" spans="3:3" x14ac:dyDescent="0.25">
      <c r="C3531" s="906"/>
    </row>
    <row r="3532" spans="3:3" x14ac:dyDescent="0.25">
      <c r="C3532" s="906"/>
    </row>
    <row r="3533" spans="3:3" x14ac:dyDescent="0.25">
      <c r="C3533" s="906"/>
    </row>
    <row r="3534" spans="3:3" x14ac:dyDescent="0.25">
      <c r="C3534" s="906"/>
    </row>
    <row r="3535" spans="3:3" x14ac:dyDescent="0.25">
      <c r="C3535" s="906"/>
    </row>
    <row r="3536" spans="3:3" x14ac:dyDescent="0.25">
      <c r="C3536" s="906"/>
    </row>
    <row r="3537" spans="3:3" x14ac:dyDescent="0.25">
      <c r="C3537" s="906"/>
    </row>
    <row r="3538" spans="3:3" x14ac:dyDescent="0.25">
      <c r="C3538" s="906"/>
    </row>
    <row r="3539" spans="3:3" x14ac:dyDescent="0.25">
      <c r="C3539" s="906"/>
    </row>
    <row r="3540" spans="3:3" x14ac:dyDescent="0.25">
      <c r="C3540" s="906"/>
    </row>
    <row r="3541" spans="3:3" x14ac:dyDescent="0.25">
      <c r="C3541" s="906"/>
    </row>
    <row r="3542" spans="3:3" x14ac:dyDescent="0.25">
      <c r="C3542" s="906"/>
    </row>
    <row r="3543" spans="3:3" x14ac:dyDescent="0.25">
      <c r="C3543" s="906"/>
    </row>
    <row r="3544" spans="3:3" x14ac:dyDescent="0.25">
      <c r="C3544" s="906"/>
    </row>
    <row r="3545" spans="3:3" x14ac:dyDescent="0.25">
      <c r="C3545" s="906"/>
    </row>
    <row r="3546" spans="3:3" x14ac:dyDescent="0.25">
      <c r="C3546" s="906"/>
    </row>
    <row r="3547" spans="3:3" x14ac:dyDescent="0.25">
      <c r="C3547" s="906"/>
    </row>
    <row r="3548" spans="3:3" x14ac:dyDescent="0.25">
      <c r="C3548" s="906"/>
    </row>
    <row r="3549" spans="3:3" x14ac:dyDescent="0.25">
      <c r="C3549" s="906"/>
    </row>
    <row r="3550" spans="3:3" x14ac:dyDescent="0.25">
      <c r="C3550" s="906"/>
    </row>
    <row r="3551" spans="3:3" x14ac:dyDescent="0.25">
      <c r="C3551" s="906"/>
    </row>
    <row r="3552" spans="3:3" x14ac:dyDescent="0.25">
      <c r="C3552" s="906"/>
    </row>
    <row r="3553" spans="3:3" x14ac:dyDescent="0.25">
      <c r="C3553" s="906"/>
    </row>
    <row r="3554" spans="3:3" x14ac:dyDescent="0.25">
      <c r="C3554" s="906"/>
    </row>
    <row r="3555" spans="3:3" x14ac:dyDescent="0.25">
      <c r="C3555" s="906"/>
    </row>
    <row r="3556" spans="3:3" x14ac:dyDescent="0.25">
      <c r="C3556" s="906"/>
    </row>
    <row r="3557" spans="3:3" x14ac:dyDescent="0.25">
      <c r="C3557" s="906"/>
    </row>
    <row r="3558" spans="3:3" x14ac:dyDescent="0.25">
      <c r="C3558" s="906"/>
    </row>
    <row r="3559" spans="3:3" x14ac:dyDescent="0.25">
      <c r="C3559" s="906"/>
    </row>
    <row r="3560" spans="3:3" x14ac:dyDescent="0.25">
      <c r="C3560" s="906"/>
    </row>
    <row r="3561" spans="3:3" x14ac:dyDescent="0.25">
      <c r="C3561" s="906"/>
    </row>
    <row r="3562" spans="3:3" x14ac:dyDescent="0.25">
      <c r="C3562" s="906"/>
    </row>
    <row r="3563" spans="3:3" x14ac:dyDescent="0.25">
      <c r="C3563" s="906"/>
    </row>
    <row r="3564" spans="3:3" x14ac:dyDescent="0.25">
      <c r="C3564" s="906"/>
    </row>
    <row r="3565" spans="3:3" x14ac:dyDescent="0.25">
      <c r="C3565" s="906"/>
    </row>
    <row r="3566" spans="3:3" x14ac:dyDescent="0.25">
      <c r="C3566" s="906"/>
    </row>
    <row r="3567" spans="3:3" x14ac:dyDescent="0.25">
      <c r="C3567" s="906"/>
    </row>
    <row r="3568" spans="3:3" x14ac:dyDescent="0.25">
      <c r="C3568" s="906"/>
    </row>
    <row r="3569" spans="3:3" x14ac:dyDescent="0.25">
      <c r="C3569" s="906"/>
    </row>
    <row r="3570" spans="3:3" x14ac:dyDescent="0.25">
      <c r="C3570" s="906"/>
    </row>
    <row r="3571" spans="3:3" x14ac:dyDescent="0.25">
      <c r="C3571" s="906"/>
    </row>
    <row r="3572" spans="3:3" x14ac:dyDescent="0.25">
      <c r="C3572" s="906"/>
    </row>
    <row r="3573" spans="3:3" x14ac:dyDescent="0.25">
      <c r="C3573" s="906"/>
    </row>
    <row r="3574" spans="3:3" x14ac:dyDescent="0.25">
      <c r="C3574" s="906"/>
    </row>
    <row r="3575" spans="3:3" x14ac:dyDescent="0.25">
      <c r="C3575" s="906"/>
    </row>
    <row r="3576" spans="3:3" x14ac:dyDescent="0.25">
      <c r="C3576" s="906"/>
    </row>
    <row r="3577" spans="3:3" x14ac:dyDescent="0.25">
      <c r="C3577" s="906"/>
    </row>
    <row r="3578" spans="3:3" x14ac:dyDescent="0.25">
      <c r="C3578" s="906"/>
    </row>
    <row r="3579" spans="3:3" x14ac:dyDescent="0.25">
      <c r="C3579" s="906"/>
    </row>
    <row r="3580" spans="3:3" x14ac:dyDescent="0.25">
      <c r="C3580" s="906"/>
    </row>
    <row r="3581" spans="3:3" x14ac:dyDescent="0.25">
      <c r="C3581" s="906"/>
    </row>
    <row r="3582" spans="3:3" x14ac:dyDescent="0.25">
      <c r="C3582" s="906"/>
    </row>
    <row r="3583" spans="3:3" x14ac:dyDescent="0.25">
      <c r="C3583" s="906"/>
    </row>
    <row r="3584" spans="3:3" x14ac:dyDescent="0.25">
      <c r="C3584" s="906"/>
    </row>
    <row r="3585" spans="3:3" x14ac:dyDescent="0.25">
      <c r="C3585" s="906"/>
    </row>
    <row r="3586" spans="3:3" x14ac:dyDescent="0.25">
      <c r="C3586" s="906"/>
    </row>
    <row r="3587" spans="3:3" x14ac:dyDescent="0.25">
      <c r="C3587" s="906"/>
    </row>
    <row r="3588" spans="3:3" x14ac:dyDescent="0.25">
      <c r="C3588" s="906"/>
    </row>
    <row r="3589" spans="3:3" x14ac:dyDescent="0.25">
      <c r="C3589" s="906"/>
    </row>
    <row r="3590" spans="3:3" x14ac:dyDescent="0.25">
      <c r="C3590" s="906"/>
    </row>
    <row r="3591" spans="3:3" x14ac:dyDescent="0.25">
      <c r="C3591" s="906"/>
    </row>
    <row r="3592" spans="3:3" x14ac:dyDescent="0.25">
      <c r="C3592" s="906"/>
    </row>
    <row r="3593" spans="3:3" x14ac:dyDescent="0.25">
      <c r="C3593" s="906"/>
    </row>
    <row r="3594" spans="3:3" x14ac:dyDescent="0.25">
      <c r="C3594" s="906"/>
    </row>
    <row r="3595" spans="3:3" x14ac:dyDescent="0.25">
      <c r="C3595" s="906"/>
    </row>
    <row r="3596" spans="3:3" x14ac:dyDescent="0.25">
      <c r="C3596" s="906"/>
    </row>
    <row r="3597" spans="3:3" x14ac:dyDescent="0.25">
      <c r="C3597" s="906"/>
    </row>
    <row r="3598" spans="3:3" x14ac:dyDescent="0.25">
      <c r="C3598" s="906"/>
    </row>
    <row r="3599" spans="3:3" x14ac:dyDescent="0.25">
      <c r="C3599" s="906"/>
    </row>
    <row r="3600" spans="3:3" x14ac:dyDescent="0.25">
      <c r="C3600" s="906"/>
    </row>
    <row r="3601" spans="3:3" x14ac:dyDescent="0.25">
      <c r="C3601" s="906"/>
    </row>
    <row r="3602" spans="3:3" x14ac:dyDescent="0.25">
      <c r="C3602" s="906"/>
    </row>
    <row r="3603" spans="3:3" x14ac:dyDescent="0.25">
      <c r="C3603" s="906"/>
    </row>
    <row r="3604" spans="3:3" x14ac:dyDescent="0.25">
      <c r="C3604" s="906"/>
    </row>
    <row r="3605" spans="3:3" x14ac:dyDescent="0.25">
      <c r="C3605" s="906"/>
    </row>
    <row r="3606" spans="3:3" x14ac:dyDescent="0.25">
      <c r="C3606" s="906"/>
    </row>
    <row r="3607" spans="3:3" x14ac:dyDescent="0.25">
      <c r="C3607" s="906"/>
    </row>
    <row r="3608" spans="3:3" x14ac:dyDescent="0.25">
      <c r="C3608" s="906"/>
    </row>
    <row r="3609" spans="3:3" x14ac:dyDescent="0.25">
      <c r="C3609" s="906"/>
    </row>
    <row r="3610" spans="3:3" x14ac:dyDescent="0.25">
      <c r="C3610" s="906"/>
    </row>
    <row r="3611" spans="3:3" x14ac:dyDescent="0.25">
      <c r="C3611" s="906"/>
    </row>
    <row r="3612" spans="3:3" x14ac:dyDescent="0.25">
      <c r="C3612" s="906"/>
    </row>
    <row r="3613" spans="3:3" x14ac:dyDescent="0.25">
      <c r="C3613" s="906"/>
    </row>
    <row r="3614" spans="3:3" x14ac:dyDescent="0.25">
      <c r="C3614" s="906"/>
    </row>
    <row r="3615" spans="3:3" x14ac:dyDescent="0.25">
      <c r="C3615" s="906"/>
    </row>
    <row r="3616" spans="3:3" x14ac:dyDescent="0.25">
      <c r="C3616" s="906"/>
    </row>
    <row r="3617" spans="3:3" x14ac:dyDescent="0.25">
      <c r="C3617" s="906"/>
    </row>
    <row r="3618" spans="3:3" x14ac:dyDescent="0.25">
      <c r="C3618" s="906"/>
    </row>
    <row r="3619" spans="3:3" x14ac:dyDescent="0.25">
      <c r="C3619" s="906"/>
    </row>
    <row r="3620" spans="3:3" x14ac:dyDescent="0.25">
      <c r="C3620" s="906"/>
    </row>
    <row r="3621" spans="3:3" x14ac:dyDescent="0.25">
      <c r="C3621" s="906"/>
    </row>
    <row r="3622" spans="3:3" x14ac:dyDescent="0.25">
      <c r="C3622" s="906"/>
    </row>
    <row r="3623" spans="3:3" x14ac:dyDescent="0.25">
      <c r="C3623" s="906"/>
    </row>
    <row r="3624" spans="3:3" x14ac:dyDescent="0.25">
      <c r="C3624" s="906"/>
    </row>
    <row r="3625" spans="3:3" x14ac:dyDescent="0.25">
      <c r="C3625" s="906"/>
    </row>
    <row r="3626" spans="3:3" x14ac:dyDescent="0.25">
      <c r="C3626" s="906"/>
    </row>
    <row r="3627" spans="3:3" x14ac:dyDescent="0.25">
      <c r="C3627" s="906"/>
    </row>
    <row r="3628" spans="3:3" x14ac:dyDescent="0.25">
      <c r="C3628" s="906"/>
    </row>
    <row r="3629" spans="3:3" x14ac:dyDescent="0.25">
      <c r="C3629" s="906"/>
    </row>
    <row r="3630" spans="3:3" x14ac:dyDescent="0.25">
      <c r="C3630" s="906"/>
    </row>
    <row r="3631" spans="3:3" x14ac:dyDescent="0.25">
      <c r="C3631" s="906"/>
    </row>
    <row r="3632" spans="3:3" x14ac:dyDescent="0.25">
      <c r="C3632" s="906"/>
    </row>
    <row r="3633" spans="3:3" x14ac:dyDescent="0.25">
      <c r="C3633" s="906"/>
    </row>
    <row r="3634" spans="3:3" x14ac:dyDescent="0.25">
      <c r="C3634" s="906"/>
    </row>
    <row r="3635" spans="3:3" x14ac:dyDescent="0.25">
      <c r="C3635" s="906"/>
    </row>
    <row r="3636" spans="3:3" x14ac:dyDescent="0.25">
      <c r="C3636" s="906"/>
    </row>
    <row r="3637" spans="3:3" x14ac:dyDescent="0.25">
      <c r="C3637" s="906"/>
    </row>
    <row r="3638" spans="3:3" x14ac:dyDescent="0.25">
      <c r="C3638" s="906"/>
    </row>
    <row r="3639" spans="3:3" x14ac:dyDescent="0.25">
      <c r="C3639" s="906"/>
    </row>
    <row r="3640" spans="3:3" x14ac:dyDescent="0.25">
      <c r="C3640" s="906"/>
    </row>
    <row r="3641" spans="3:3" x14ac:dyDescent="0.25">
      <c r="C3641" s="906"/>
    </row>
    <row r="3642" spans="3:3" x14ac:dyDescent="0.25">
      <c r="C3642" s="906"/>
    </row>
    <row r="3643" spans="3:3" x14ac:dyDescent="0.25">
      <c r="C3643" s="906"/>
    </row>
    <row r="3644" spans="3:3" x14ac:dyDescent="0.25">
      <c r="C3644" s="906"/>
    </row>
    <row r="3645" spans="3:3" x14ac:dyDescent="0.25">
      <c r="C3645" s="906"/>
    </row>
    <row r="3646" spans="3:3" x14ac:dyDescent="0.25">
      <c r="C3646" s="906"/>
    </row>
    <row r="3647" spans="3:3" x14ac:dyDescent="0.25">
      <c r="C3647" s="906"/>
    </row>
    <row r="3648" spans="3:3" x14ac:dyDescent="0.25">
      <c r="C3648" s="906"/>
    </row>
    <row r="3649" spans="3:3" x14ac:dyDescent="0.25">
      <c r="C3649" s="906"/>
    </row>
    <row r="3650" spans="3:3" x14ac:dyDescent="0.25">
      <c r="C3650" s="906"/>
    </row>
    <row r="3651" spans="3:3" x14ac:dyDescent="0.25">
      <c r="C3651" s="906"/>
    </row>
    <row r="3652" spans="3:3" x14ac:dyDescent="0.25">
      <c r="C3652" s="906"/>
    </row>
    <row r="3653" spans="3:3" x14ac:dyDescent="0.25">
      <c r="C3653" s="906"/>
    </row>
    <row r="3654" spans="3:3" x14ac:dyDescent="0.25">
      <c r="C3654" s="906"/>
    </row>
    <row r="3655" spans="3:3" x14ac:dyDescent="0.25">
      <c r="C3655" s="906"/>
    </row>
    <row r="3656" spans="3:3" x14ac:dyDescent="0.25">
      <c r="C3656" s="906"/>
    </row>
    <row r="3657" spans="3:3" x14ac:dyDescent="0.25">
      <c r="C3657" s="906"/>
    </row>
    <row r="3658" spans="3:3" x14ac:dyDescent="0.25">
      <c r="C3658" s="906"/>
    </row>
    <row r="3659" spans="3:3" x14ac:dyDescent="0.25">
      <c r="C3659" s="906"/>
    </row>
    <row r="3660" spans="3:3" x14ac:dyDescent="0.25">
      <c r="C3660" s="906"/>
    </row>
    <row r="3661" spans="3:3" x14ac:dyDescent="0.25">
      <c r="C3661" s="906"/>
    </row>
    <row r="3662" spans="3:3" x14ac:dyDescent="0.25">
      <c r="C3662" s="906"/>
    </row>
    <row r="3663" spans="3:3" x14ac:dyDescent="0.25">
      <c r="C3663" s="906"/>
    </row>
    <row r="3664" spans="3:3" x14ac:dyDescent="0.25">
      <c r="C3664" s="906"/>
    </row>
    <row r="3665" spans="3:3" x14ac:dyDescent="0.25">
      <c r="C3665" s="906"/>
    </row>
    <row r="3666" spans="3:3" x14ac:dyDescent="0.25">
      <c r="C3666" s="906"/>
    </row>
    <row r="3667" spans="3:3" x14ac:dyDescent="0.25">
      <c r="C3667" s="906"/>
    </row>
    <row r="3668" spans="3:3" x14ac:dyDescent="0.25">
      <c r="C3668" s="906"/>
    </row>
    <row r="3669" spans="3:3" x14ac:dyDescent="0.25">
      <c r="C3669" s="906"/>
    </row>
    <row r="3670" spans="3:3" x14ac:dyDescent="0.25">
      <c r="C3670" s="906"/>
    </row>
    <row r="3671" spans="3:3" x14ac:dyDescent="0.25">
      <c r="C3671" s="906"/>
    </row>
    <row r="3672" spans="3:3" x14ac:dyDescent="0.25">
      <c r="C3672" s="906"/>
    </row>
    <row r="3673" spans="3:3" x14ac:dyDescent="0.25">
      <c r="C3673" s="906"/>
    </row>
    <row r="3674" spans="3:3" x14ac:dyDescent="0.25">
      <c r="C3674" s="906"/>
    </row>
    <row r="3675" spans="3:3" x14ac:dyDescent="0.25">
      <c r="C3675" s="906"/>
    </row>
    <row r="3676" spans="3:3" x14ac:dyDescent="0.25">
      <c r="C3676" s="906"/>
    </row>
    <row r="3677" spans="3:3" x14ac:dyDescent="0.25">
      <c r="C3677" s="906"/>
    </row>
    <row r="3678" spans="3:3" x14ac:dyDescent="0.25">
      <c r="C3678" s="906"/>
    </row>
    <row r="3679" spans="3:3" x14ac:dyDescent="0.25">
      <c r="C3679" s="906"/>
    </row>
    <row r="3680" spans="3:3" x14ac:dyDescent="0.25">
      <c r="C3680" s="906"/>
    </row>
    <row r="3681" spans="3:3" x14ac:dyDescent="0.25">
      <c r="C3681" s="906"/>
    </row>
    <row r="3682" spans="3:3" x14ac:dyDescent="0.25">
      <c r="C3682" s="906"/>
    </row>
    <row r="3683" spans="3:3" x14ac:dyDescent="0.25">
      <c r="C3683" s="906"/>
    </row>
    <row r="3684" spans="3:3" x14ac:dyDescent="0.25">
      <c r="C3684" s="906"/>
    </row>
    <row r="3685" spans="3:3" x14ac:dyDescent="0.25">
      <c r="C3685" s="906"/>
    </row>
    <row r="3686" spans="3:3" x14ac:dyDescent="0.25">
      <c r="C3686" s="906"/>
    </row>
    <row r="3687" spans="3:3" x14ac:dyDescent="0.25">
      <c r="C3687" s="906"/>
    </row>
    <row r="3688" spans="3:3" x14ac:dyDescent="0.25">
      <c r="C3688" s="906"/>
    </row>
    <row r="3689" spans="3:3" x14ac:dyDescent="0.25">
      <c r="C3689" s="906"/>
    </row>
    <row r="3690" spans="3:3" x14ac:dyDescent="0.25">
      <c r="C3690" s="906"/>
    </row>
    <row r="3691" spans="3:3" x14ac:dyDescent="0.25">
      <c r="C3691" s="906"/>
    </row>
    <row r="3692" spans="3:3" x14ac:dyDescent="0.25">
      <c r="C3692" s="906"/>
    </row>
    <row r="3693" spans="3:3" x14ac:dyDescent="0.25">
      <c r="C3693" s="906"/>
    </row>
    <row r="3694" spans="3:3" x14ac:dyDescent="0.25">
      <c r="C3694" s="906"/>
    </row>
    <row r="3695" spans="3:3" x14ac:dyDescent="0.25">
      <c r="C3695" s="906"/>
    </row>
    <row r="3696" spans="3:3" x14ac:dyDescent="0.25">
      <c r="C3696" s="906"/>
    </row>
    <row r="3697" spans="3:3" x14ac:dyDescent="0.25">
      <c r="C3697" s="906"/>
    </row>
    <row r="3698" spans="3:3" x14ac:dyDescent="0.25">
      <c r="C3698" s="906"/>
    </row>
    <row r="3699" spans="3:3" x14ac:dyDescent="0.25">
      <c r="C3699" s="906"/>
    </row>
    <row r="3700" spans="3:3" x14ac:dyDescent="0.25">
      <c r="C3700" s="906"/>
    </row>
    <row r="3701" spans="3:3" x14ac:dyDescent="0.25">
      <c r="C3701" s="906"/>
    </row>
    <row r="3702" spans="3:3" x14ac:dyDescent="0.25">
      <c r="C3702" s="906"/>
    </row>
    <row r="3703" spans="3:3" x14ac:dyDescent="0.25">
      <c r="C3703" s="906"/>
    </row>
    <row r="3704" spans="3:3" x14ac:dyDescent="0.25">
      <c r="C3704" s="906"/>
    </row>
    <row r="3705" spans="3:3" x14ac:dyDescent="0.25">
      <c r="C3705" s="906"/>
    </row>
    <row r="3706" spans="3:3" x14ac:dyDescent="0.25">
      <c r="C3706" s="906"/>
    </row>
    <row r="3707" spans="3:3" x14ac:dyDescent="0.25">
      <c r="C3707" s="906"/>
    </row>
    <row r="3708" spans="3:3" x14ac:dyDescent="0.25">
      <c r="C3708" s="906"/>
    </row>
    <row r="3709" spans="3:3" x14ac:dyDescent="0.25">
      <c r="C3709" s="906"/>
    </row>
    <row r="3710" spans="3:3" x14ac:dyDescent="0.25">
      <c r="C3710" s="906"/>
    </row>
    <row r="3711" spans="3:3" x14ac:dyDescent="0.25">
      <c r="C3711" s="906"/>
    </row>
    <row r="3712" spans="3:3" x14ac:dyDescent="0.25">
      <c r="C3712" s="906"/>
    </row>
    <row r="3713" spans="3:3" x14ac:dyDescent="0.25">
      <c r="C3713" s="906"/>
    </row>
    <row r="3714" spans="3:3" x14ac:dyDescent="0.25">
      <c r="C3714" s="906"/>
    </row>
    <row r="3715" spans="3:3" x14ac:dyDescent="0.25">
      <c r="C3715" s="906"/>
    </row>
    <row r="3716" spans="3:3" x14ac:dyDescent="0.25">
      <c r="C3716" s="906"/>
    </row>
    <row r="3717" spans="3:3" x14ac:dyDescent="0.25">
      <c r="C3717" s="906"/>
    </row>
    <row r="3718" spans="3:3" x14ac:dyDescent="0.25">
      <c r="C3718" s="906"/>
    </row>
    <row r="3719" spans="3:3" x14ac:dyDescent="0.25">
      <c r="C3719" s="906"/>
    </row>
    <row r="3720" spans="3:3" x14ac:dyDescent="0.25">
      <c r="C3720" s="906"/>
    </row>
    <row r="3721" spans="3:3" x14ac:dyDescent="0.25">
      <c r="C3721" s="906"/>
    </row>
    <row r="3722" spans="3:3" x14ac:dyDescent="0.25">
      <c r="C3722" s="906"/>
    </row>
    <row r="3723" spans="3:3" x14ac:dyDescent="0.25">
      <c r="C3723" s="906"/>
    </row>
    <row r="3724" spans="3:3" x14ac:dyDescent="0.25">
      <c r="C3724" s="906"/>
    </row>
    <row r="3725" spans="3:3" x14ac:dyDescent="0.25">
      <c r="C3725" s="906"/>
    </row>
    <row r="3726" spans="3:3" x14ac:dyDescent="0.25">
      <c r="C3726" s="906"/>
    </row>
    <row r="3727" spans="3:3" x14ac:dyDescent="0.25">
      <c r="C3727" s="906"/>
    </row>
    <row r="3728" spans="3:3" x14ac:dyDescent="0.25">
      <c r="C3728" s="906"/>
    </row>
    <row r="3729" spans="3:3" x14ac:dyDescent="0.25">
      <c r="C3729" s="906"/>
    </row>
    <row r="3730" spans="3:3" x14ac:dyDescent="0.25">
      <c r="C3730" s="906"/>
    </row>
    <row r="3731" spans="3:3" x14ac:dyDescent="0.25">
      <c r="C3731" s="906"/>
    </row>
    <row r="3732" spans="3:3" x14ac:dyDescent="0.25">
      <c r="C3732" s="906"/>
    </row>
    <row r="3733" spans="3:3" x14ac:dyDescent="0.25">
      <c r="C3733" s="906"/>
    </row>
    <row r="3734" spans="3:3" x14ac:dyDescent="0.25">
      <c r="C3734" s="906"/>
    </row>
    <row r="3735" spans="3:3" x14ac:dyDescent="0.25">
      <c r="C3735" s="906"/>
    </row>
    <row r="3736" spans="3:3" x14ac:dyDescent="0.25">
      <c r="C3736" s="906"/>
    </row>
    <row r="3737" spans="3:3" x14ac:dyDescent="0.25">
      <c r="C3737" s="906"/>
    </row>
    <row r="3738" spans="3:3" x14ac:dyDescent="0.25">
      <c r="C3738" s="906"/>
    </row>
    <row r="3739" spans="3:3" x14ac:dyDescent="0.25">
      <c r="C3739" s="906"/>
    </row>
    <row r="3740" spans="3:3" x14ac:dyDescent="0.25">
      <c r="C3740" s="906"/>
    </row>
    <row r="3741" spans="3:3" x14ac:dyDescent="0.25">
      <c r="C3741" s="906"/>
    </row>
    <row r="3742" spans="3:3" x14ac:dyDescent="0.25">
      <c r="C3742" s="906"/>
    </row>
    <row r="3743" spans="3:3" x14ac:dyDescent="0.25">
      <c r="C3743" s="906"/>
    </row>
    <row r="3744" spans="3:3" x14ac:dyDescent="0.25">
      <c r="C3744" s="906"/>
    </row>
    <row r="3745" spans="3:3" x14ac:dyDescent="0.25">
      <c r="C3745" s="906"/>
    </row>
    <row r="3746" spans="3:3" x14ac:dyDescent="0.25">
      <c r="C3746" s="906"/>
    </row>
    <row r="3747" spans="3:3" x14ac:dyDescent="0.25">
      <c r="C3747" s="906"/>
    </row>
    <row r="3748" spans="3:3" x14ac:dyDescent="0.25">
      <c r="C3748" s="906"/>
    </row>
    <row r="3749" spans="3:3" x14ac:dyDescent="0.25">
      <c r="C3749" s="906"/>
    </row>
    <row r="3750" spans="3:3" x14ac:dyDescent="0.25">
      <c r="C3750" s="906"/>
    </row>
    <row r="3751" spans="3:3" x14ac:dyDescent="0.25">
      <c r="C3751" s="906"/>
    </row>
    <row r="3752" spans="3:3" x14ac:dyDescent="0.25">
      <c r="C3752" s="906"/>
    </row>
    <row r="3753" spans="3:3" x14ac:dyDescent="0.25">
      <c r="C3753" s="906"/>
    </row>
    <row r="3754" spans="3:3" x14ac:dyDescent="0.25">
      <c r="C3754" s="906"/>
    </row>
    <row r="3755" spans="3:3" x14ac:dyDescent="0.25">
      <c r="C3755" s="906"/>
    </row>
    <row r="3756" spans="3:3" x14ac:dyDescent="0.25">
      <c r="C3756" s="906"/>
    </row>
    <row r="3757" spans="3:3" x14ac:dyDescent="0.25">
      <c r="C3757" s="906"/>
    </row>
    <row r="3758" spans="3:3" x14ac:dyDescent="0.25">
      <c r="C3758" s="906"/>
    </row>
    <row r="3759" spans="3:3" x14ac:dyDescent="0.25">
      <c r="C3759" s="906"/>
    </row>
    <row r="3760" spans="3:3" x14ac:dyDescent="0.25">
      <c r="C3760" s="906"/>
    </row>
    <row r="3761" spans="3:3" x14ac:dyDescent="0.25">
      <c r="C3761" s="906"/>
    </row>
    <row r="3762" spans="3:3" x14ac:dyDescent="0.25">
      <c r="C3762" s="906"/>
    </row>
    <row r="3763" spans="3:3" x14ac:dyDescent="0.25">
      <c r="C3763" s="906"/>
    </row>
    <row r="3764" spans="3:3" x14ac:dyDescent="0.25">
      <c r="C3764" s="906"/>
    </row>
    <row r="3765" spans="3:3" x14ac:dyDescent="0.25">
      <c r="C3765" s="906"/>
    </row>
    <row r="3766" spans="3:3" x14ac:dyDescent="0.25">
      <c r="C3766" s="906"/>
    </row>
    <row r="3767" spans="3:3" x14ac:dyDescent="0.25">
      <c r="C3767" s="906"/>
    </row>
    <row r="3768" spans="3:3" x14ac:dyDescent="0.25">
      <c r="C3768" s="906"/>
    </row>
    <row r="3769" spans="3:3" x14ac:dyDescent="0.25">
      <c r="C3769" s="906"/>
    </row>
    <row r="3770" spans="3:3" x14ac:dyDescent="0.25">
      <c r="C3770" s="906"/>
    </row>
    <row r="3771" spans="3:3" x14ac:dyDescent="0.25">
      <c r="C3771" s="906"/>
    </row>
    <row r="3772" spans="3:3" x14ac:dyDescent="0.25">
      <c r="C3772" s="906"/>
    </row>
    <row r="3773" spans="3:3" x14ac:dyDescent="0.25">
      <c r="C3773" s="906"/>
    </row>
    <row r="3774" spans="3:3" x14ac:dyDescent="0.25">
      <c r="C3774" s="906"/>
    </row>
    <row r="3775" spans="3:3" x14ac:dyDescent="0.25">
      <c r="C3775" s="906"/>
    </row>
    <row r="3776" spans="3:3" x14ac:dyDescent="0.25">
      <c r="C3776" s="906"/>
    </row>
    <row r="3777" spans="3:3" x14ac:dyDescent="0.25">
      <c r="C3777" s="906"/>
    </row>
    <row r="3778" spans="3:3" x14ac:dyDescent="0.25">
      <c r="C3778" s="906"/>
    </row>
    <row r="3779" spans="3:3" x14ac:dyDescent="0.25">
      <c r="C3779" s="906"/>
    </row>
    <row r="3780" spans="3:3" x14ac:dyDescent="0.25">
      <c r="C3780" s="906"/>
    </row>
    <row r="3781" spans="3:3" x14ac:dyDescent="0.25">
      <c r="C3781" s="906"/>
    </row>
    <row r="3782" spans="3:3" x14ac:dyDescent="0.25">
      <c r="C3782" s="906"/>
    </row>
    <row r="3783" spans="3:3" x14ac:dyDescent="0.25">
      <c r="C3783" s="906"/>
    </row>
    <row r="3784" spans="3:3" x14ac:dyDescent="0.25">
      <c r="C3784" s="906"/>
    </row>
    <row r="3785" spans="3:3" x14ac:dyDescent="0.25">
      <c r="C3785" s="906"/>
    </row>
    <row r="3786" spans="3:3" x14ac:dyDescent="0.25">
      <c r="C3786" s="906"/>
    </row>
    <row r="3787" spans="3:3" x14ac:dyDescent="0.25">
      <c r="C3787" s="906"/>
    </row>
    <row r="3788" spans="3:3" x14ac:dyDescent="0.25">
      <c r="C3788" s="906"/>
    </row>
    <row r="3789" spans="3:3" x14ac:dyDescent="0.25">
      <c r="C3789" s="906"/>
    </row>
    <row r="3790" spans="3:3" x14ac:dyDescent="0.25">
      <c r="C3790" s="906"/>
    </row>
    <row r="3791" spans="3:3" x14ac:dyDescent="0.25">
      <c r="C3791" s="906"/>
    </row>
    <row r="3792" spans="3:3" x14ac:dyDescent="0.25">
      <c r="C3792" s="906"/>
    </row>
    <row r="3793" spans="3:3" x14ac:dyDescent="0.25">
      <c r="C3793" s="906"/>
    </row>
    <row r="3794" spans="3:3" x14ac:dyDescent="0.25">
      <c r="C3794" s="906"/>
    </row>
    <row r="3795" spans="3:3" x14ac:dyDescent="0.25">
      <c r="C3795" s="906"/>
    </row>
    <row r="3796" spans="3:3" x14ac:dyDescent="0.25">
      <c r="C3796" s="906"/>
    </row>
    <row r="3797" spans="3:3" x14ac:dyDescent="0.25">
      <c r="C3797" s="906"/>
    </row>
    <row r="3798" spans="3:3" x14ac:dyDescent="0.25">
      <c r="C3798" s="906"/>
    </row>
    <row r="3799" spans="3:3" x14ac:dyDescent="0.25">
      <c r="C3799" s="906"/>
    </row>
    <row r="3800" spans="3:3" x14ac:dyDescent="0.25">
      <c r="C3800" s="906"/>
    </row>
    <row r="3801" spans="3:3" x14ac:dyDescent="0.25">
      <c r="C3801" s="906"/>
    </row>
    <row r="3802" spans="3:3" x14ac:dyDescent="0.25">
      <c r="C3802" s="906"/>
    </row>
    <row r="3803" spans="3:3" x14ac:dyDescent="0.25">
      <c r="C3803" s="906"/>
    </row>
    <row r="3804" spans="3:3" x14ac:dyDescent="0.25">
      <c r="C3804" s="906"/>
    </row>
    <row r="3805" spans="3:3" x14ac:dyDescent="0.25">
      <c r="C3805" s="906"/>
    </row>
    <row r="3806" spans="3:3" x14ac:dyDescent="0.25">
      <c r="C3806" s="906"/>
    </row>
    <row r="3807" spans="3:3" x14ac:dyDescent="0.25">
      <c r="C3807" s="906"/>
    </row>
    <row r="3808" spans="3:3" x14ac:dyDescent="0.25">
      <c r="C3808" s="906"/>
    </row>
    <row r="3809" spans="3:3" x14ac:dyDescent="0.25">
      <c r="C3809" s="906"/>
    </row>
    <row r="3810" spans="3:3" x14ac:dyDescent="0.25">
      <c r="C3810" s="906"/>
    </row>
    <row r="3811" spans="3:3" x14ac:dyDescent="0.25">
      <c r="C3811" s="906"/>
    </row>
    <row r="3812" spans="3:3" x14ac:dyDescent="0.25">
      <c r="C3812" s="906"/>
    </row>
    <row r="3813" spans="3:3" x14ac:dyDescent="0.25">
      <c r="C3813" s="906"/>
    </row>
    <row r="3814" spans="3:3" x14ac:dyDescent="0.25">
      <c r="C3814" s="906"/>
    </row>
    <row r="3815" spans="3:3" x14ac:dyDescent="0.25">
      <c r="C3815" s="906"/>
    </row>
    <row r="3816" spans="3:3" x14ac:dyDescent="0.25">
      <c r="C3816" s="906"/>
    </row>
    <row r="3817" spans="3:3" x14ac:dyDescent="0.25">
      <c r="C3817" s="906"/>
    </row>
    <row r="3818" spans="3:3" x14ac:dyDescent="0.25">
      <c r="C3818" s="906"/>
    </row>
    <row r="3819" spans="3:3" x14ac:dyDescent="0.25">
      <c r="C3819" s="906"/>
    </row>
    <row r="3820" spans="3:3" x14ac:dyDescent="0.25">
      <c r="C3820" s="906"/>
    </row>
    <row r="3821" spans="3:3" x14ac:dyDescent="0.25">
      <c r="C3821" s="906"/>
    </row>
    <row r="3822" spans="3:3" x14ac:dyDescent="0.25">
      <c r="C3822" s="906"/>
    </row>
    <row r="3823" spans="3:3" x14ac:dyDescent="0.25">
      <c r="C3823" s="906"/>
    </row>
    <row r="3824" spans="3:3" x14ac:dyDescent="0.25">
      <c r="C3824" s="906"/>
    </row>
    <row r="3825" spans="3:3" x14ac:dyDescent="0.25">
      <c r="C3825" s="906"/>
    </row>
    <row r="3826" spans="3:3" x14ac:dyDescent="0.25">
      <c r="C3826" s="906"/>
    </row>
    <row r="3827" spans="3:3" x14ac:dyDescent="0.25">
      <c r="C3827" s="906"/>
    </row>
    <row r="3828" spans="3:3" x14ac:dyDescent="0.25">
      <c r="C3828" s="906"/>
    </row>
    <row r="3829" spans="3:3" x14ac:dyDescent="0.25">
      <c r="C3829" s="906"/>
    </row>
    <row r="3830" spans="3:3" x14ac:dyDescent="0.25">
      <c r="C3830" s="906"/>
    </row>
    <row r="3831" spans="3:3" x14ac:dyDescent="0.25">
      <c r="C3831" s="906"/>
    </row>
    <row r="3832" spans="3:3" x14ac:dyDescent="0.25">
      <c r="C3832" s="906"/>
    </row>
    <row r="3833" spans="3:3" x14ac:dyDescent="0.25">
      <c r="C3833" s="906"/>
    </row>
    <row r="3834" spans="3:3" x14ac:dyDescent="0.25">
      <c r="C3834" s="906"/>
    </row>
    <row r="3835" spans="3:3" x14ac:dyDescent="0.25">
      <c r="C3835" s="906"/>
    </row>
    <row r="3836" spans="3:3" x14ac:dyDescent="0.25">
      <c r="C3836" s="906"/>
    </row>
    <row r="3837" spans="3:3" x14ac:dyDescent="0.25">
      <c r="C3837" s="906"/>
    </row>
    <row r="3838" spans="3:3" x14ac:dyDescent="0.25">
      <c r="C3838" s="906"/>
    </row>
    <row r="3839" spans="3:3" x14ac:dyDescent="0.25">
      <c r="C3839" s="906"/>
    </row>
    <row r="3840" spans="3:3" x14ac:dyDescent="0.25">
      <c r="C3840" s="906"/>
    </row>
    <row r="3841" spans="3:3" x14ac:dyDescent="0.25">
      <c r="C3841" s="906"/>
    </row>
    <row r="3842" spans="3:3" x14ac:dyDescent="0.25">
      <c r="C3842" s="906"/>
    </row>
    <row r="3843" spans="3:3" x14ac:dyDescent="0.25">
      <c r="C3843" s="906"/>
    </row>
    <row r="3844" spans="3:3" x14ac:dyDescent="0.25">
      <c r="C3844" s="906"/>
    </row>
    <row r="3845" spans="3:3" x14ac:dyDescent="0.25">
      <c r="C3845" s="906"/>
    </row>
    <row r="3846" spans="3:3" x14ac:dyDescent="0.25">
      <c r="C3846" s="906"/>
    </row>
    <row r="3847" spans="3:3" x14ac:dyDescent="0.25">
      <c r="C3847" s="906"/>
    </row>
    <row r="3848" spans="3:3" x14ac:dyDescent="0.25">
      <c r="C3848" s="906"/>
    </row>
    <row r="3849" spans="3:3" x14ac:dyDescent="0.25">
      <c r="C3849" s="906"/>
    </row>
    <row r="3850" spans="3:3" x14ac:dyDescent="0.25">
      <c r="C3850" s="906"/>
    </row>
    <row r="3851" spans="3:3" x14ac:dyDescent="0.25">
      <c r="C3851" s="906"/>
    </row>
    <row r="3852" spans="3:3" x14ac:dyDescent="0.25">
      <c r="C3852" s="906"/>
    </row>
    <row r="3853" spans="3:3" x14ac:dyDescent="0.25">
      <c r="C3853" s="906"/>
    </row>
    <row r="3854" spans="3:3" x14ac:dyDescent="0.25">
      <c r="C3854" s="906"/>
    </row>
    <row r="3855" spans="3:3" x14ac:dyDescent="0.25">
      <c r="C3855" s="906"/>
    </row>
    <row r="3856" spans="3:3" x14ac:dyDescent="0.25">
      <c r="C3856" s="906"/>
    </row>
    <row r="3857" spans="3:3" x14ac:dyDescent="0.25">
      <c r="C3857" s="906"/>
    </row>
    <row r="3858" spans="3:3" x14ac:dyDescent="0.25">
      <c r="C3858" s="906"/>
    </row>
    <row r="3859" spans="3:3" x14ac:dyDescent="0.25">
      <c r="C3859" s="906"/>
    </row>
    <row r="3860" spans="3:3" x14ac:dyDescent="0.25">
      <c r="C3860" s="906"/>
    </row>
    <row r="3861" spans="3:3" x14ac:dyDescent="0.25">
      <c r="C3861" s="906"/>
    </row>
    <row r="3862" spans="3:3" x14ac:dyDescent="0.25">
      <c r="C3862" s="906"/>
    </row>
    <row r="3863" spans="3:3" x14ac:dyDescent="0.25">
      <c r="C3863" s="906"/>
    </row>
    <row r="3864" spans="3:3" x14ac:dyDescent="0.25">
      <c r="C3864" s="906"/>
    </row>
    <row r="3865" spans="3:3" x14ac:dyDescent="0.25">
      <c r="C3865" s="906"/>
    </row>
    <row r="3866" spans="3:3" x14ac:dyDescent="0.25">
      <c r="C3866" s="906"/>
    </row>
    <row r="3867" spans="3:3" x14ac:dyDescent="0.25">
      <c r="C3867" s="906"/>
    </row>
    <row r="3868" spans="3:3" x14ac:dyDescent="0.25">
      <c r="C3868" s="906"/>
    </row>
    <row r="3869" spans="3:3" x14ac:dyDescent="0.25">
      <c r="C3869" s="906"/>
    </row>
    <row r="3870" spans="3:3" x14ac:dyDescent="0.25">
      <c r="C3870" s="906"/>
    </row>
    <row r="3871" spans="3:3" x14ac:dyDescent="0.25">
      <c r="C3871" s="906"/>
    </row>
    <row r="3872" spans="3:3" x14ac:dyDescent="0.25">
      <c r="C3872" s="906"/>
    </row>
    <row r="3873" spans="3:3" x14ac:dyDescent="0.25">
      <c r="C3873" s="906"/>
    </row>
    <row r="3874" spans="3:3" x14ac:dyDescent="0.25">
      <c r="C3874" s="906"/>
    </row>
    <row r="3875" spans="3:3" x14ac:dyDescent="0.25">
      <c r="C3875" s="906"/>
    </row>
    <row r="3876" spans="3:3" x14ac:dyDescent="0.25">
      <c r="C3876" s="906"/>
    </row>
    <row r="3877" spans="3:3" x14ac:dyDescent="0.25">
      <c r="C3877" s="906"/>
    </row>
    <row r="3878" spans="3:3" x14ac:dyDescent="0.25">
      <c r="C3878" s="906"/>
    </row>
    <row r="3879" spans="3:3" x14ac:dyDescent="0.25">
      <c r="C3879" s="906"/>
    </row>
    <row r="3880" spans="3:3" x14ac:dyDescent="0.25">
      <c r="C3880" s="906"/>
    </row>
    <row r="3881" spans="3:3" x14ac:dyDescent="0.25">
      <c r="C3881" s="906"/>
    </row>
    <row r="3882" spans="3:3" x14ac:dyDescent="0.25">
      <c r="C3882" s="906"/>
    </row>
    <row r="3883" spans="3:3" x14ac:dyDescent="0.25">
      <c r="C3883" s="906"/>
    </row>
    <row r="3884" spans="3:3" x14ac:dyDescent="0.25">
      <c r="C3884" s="906"/>
    </row>
    <row r="3885" spans="3:3" x14ac:dyDescent="0.25">
      <c r="C3885" s="906"/>
    </row>
    <row r="3886" spans="3:3" x14ac:dyDescent="0.25">
      <c r="C3886" s="906"/>
    </row>
    <row r="3887" spans="3:3" x14ac:dyDescent="0.25">
      <c r="C3887" s="906"/>
    </row>
    <row r="3888" spans="3:3" x14ac:dyDescent="0.25">
      <c r="C3888" s="906"/>
    </row>
    <row r="3889" spans="3:3" x14ac:dyDescent="0.25">
      <c r="C3889" s="906"/>
    </row>
    <row r="3890" spans="3:3" x14ac:dyDescent="0.25">
      <c r="C3890" s="906"/>
    </row>
    <row r="3891" spans="3:3" x14ac:dyDescent="0.25">
      <c r="C3891" s="906"/>
    </row>
    <row r="3892" spans="3:3" x14ac:dyDescent="0.25">
      <c r="C3892" s="906"/>
    </row>
    <row r="3893" spans="3:3" x14ac:dyDescent="0.25">
      <c r="C3893" s="906"/>
    </row>
    <row r="3894" spans="3:3" x14ac:dyDescent="0.25">
      <c r="C3894" s="906"/>
    </row>
    <row r="3895" spans="3:3" x14ac:dyDescent="0.25">
      <c r="C3895" s="906"/>
    </row>
    <row r="3896" spans="3:3" x14ac:dyDescent="0.25">
      <c r="C3896" s="906"/>
    </row>
    <row r="3897" spans="3:3" x14ac:dyDescent="0.25">
      <c r="C3897" s="906"/>
    </row>
    <row r="3898" spans="3:3" x14ac:dyDescent="0.25">
      <c r="C3898" s="906"/>
    </row>
    <row r="3899" spans="3:3" x14ac:dyDescent="0.25">
      <c r="C3899" s="906"/>
    </row>
    <row r="3900" spans="3:3" x14ac:dyDescent="0.25">
      <c r="C3900" s="906"/>
    </row>
    <row r="3901" spans="3:3" x14ac:dyDescent="0.25">
      <c r="C3901" s="906"/>
    </row>
    <row r="3902" spans="3:3" x14ac:dyDescent="0.25">
      <c r="C3902" s="906"/>
    </row>
    <row r="3903" spans="3:3" x14ac:dyDescent="0.25">
      <c r="C3903" s="906"/>
    </row>
    <row r="3904" spans="3:3" x14ac:dyDescent="0.25">
      <c r="C3904" s="906"/>
    </row>
    <row r="3905" spans="3:3" x14ac:dyDescent="0.25">
      <c r="C3905" s="906"/>
    </row>
    <row r="3906" spans="3:3" x14ac:dyDescent="0.25">
      <c r="C3906" s="906"/>
    </row>
    <row r="3907" spans="3:3" x14ac:dyDescent="0.25">
      <c r="C3907" s="906"/>
    </row>
    <row r="3908" spans="3:3" x14ac:dyDescent="0.25">
      <c r="C3908" s="906"/>
    </row>
    <row r="3909" spans="3:3" x14ac:dyDescent="0.25">
      <c r="C3909" s="906"/>
    </row>
    <row r="3910" spans="3:3" x14ac:dyDescent="0.25">
      <c r="C3910" s="906"/>
    </row>
    <row r="3911" spans="3:3" x14ac:dyDescent="0.25">
      <c r="C3911" s="906"/>
    </row>
    <row r="3912" spans="3:3" x14ac:dyDescent="0.25">
      <c r="C3912" s="906"/>
    </row>
    <row r="3913" spans="3:3" x14ac:dyDescent="0.25">
      <c r="C3913" s="906"/>
    </row>
    <row r="3914" spans="3:3" x14ac:dyDescent="0.25">
      <c r="C3914" s="906"/>
    </row>
    <row r="3915" spans="3:3" x14ac:dyDescent="0.25">
      <c r="C3915" s="906"/>
    </row>
    <row r="3916" spans="3:3" x14ac:dyDescent="0.25">
      <c r="C3916" s="906"/>
    </row>
    <row r="3917" spans="3:3" x14ac:dyDescent="0.25">
      <c r="C3917" s="906"/>
    </row>
    <row r="3918" spans="3:3" x14ac:dyDescent="0.25">
      <c r="C3918" s="906"/>
    </row>
    <row r="3919" spans="3:3" x14ac:dyDescent="0.25">
      <c r="C3919" s="906"/>
    </row>
    <row r="3920" spans="3:3" x14ac:dyDescent="0.25">
      <c r="C3920" s="906"/>
    </row>
    <row r="3921" spans="3:3" x14ac:dyDescent="0.25">
      <c r="C3921" s="906"/>
    </row>
    <row r="3922" spans="3:3" x14ac:dyDescent="0.25">
      <c r="C3922" s="906"/>
    </row>
    <row r="3923" spans="3:3" x14ac:dyDescent="0.25">
      <c r="C3923" s="906"/>
    </row>
    <row r="3924" spans="3:3" x14ac:dyDescent="0.25">
      <c r="C3924" s="906"/>
    </row>
    <row r="3925" spans="3:3" x14ac:dyDescent="0.25">
      <c r="C3925" s="906"/>
    </row>
    <row r="3926" spans="3:3" x14ac:dyDescent="0.25">
      <c r="C3926" s="906"/>
    </row>
    <row r="3927" spans="3:3" x14ac:dyDescent="0.25">
      <c r="C3927" s="906"/>
    </row>
    <row r="3928" spans="3:3" x14ac:dyDescent="0.25">
      <c r="C3928" s="906"/>
    </row>
    <row r="3929" spans="3:3" x14ac:dyDescent="0.25">
      <c r="C3929" s="906"/>
    </row>
    <row r="3930" spans="3:3" x14ac:dyDescent="0.25">
      <c r="C3930" s="906"/>
    </row>
    <row r="3931" spans="3:3" x14ac:dyDescent="0.25">
      <c r="C3931" s="906"/>
    </row>
    <row r="3932" spans="3:3" x14ac:dyDescent="0.25">
      <c r="C3932" s="906"/>
    </row>
    <row r="3933" spans="3:3" x14ac:dyDescent="0.25">
      <c r="C3933" s="906"/>
    </row>
    <row r="3934" spans="3:3" x14ac:dyDescent="0.25">
      <c r="C3934" s="906"/>
    </row>
    <row r="3935" spans="3:3" x14ac:dyDescent="0.25">
      <c r="C3935" s="906"/>
    </row>
    <row r="3936" spans="3:3" x14ac:dyDescent="0.25">
      <c r="C3936" s="906"/>
    </row>
    <row r="3937" spans="3:3" x14ac:dyDescent="0.25">
      <c r="C3937" s="906"/>
    </row>
    <row r="3938" spans="3:3" x14ac:dyDescent="0.25">
      <c r="C3938" s="906"/>
    </row>
    <row r="3939" spans="3:3" x14ac:dyDescent="0.25">
      <c r="C3939" s="906"/>
    </row>
    <row r="3940" spans="3:3" x14ac:dyDescent="0.25">
      <c r="C3940" s="906"/>
    </row>
    <row r="3941" spans="3:3" x14ac:dyDescent="0.25">
      <c r="C3941" s="906"/>
    </row>
    <row r="3942" spans="3:3" x14ac:dyDescent="0.25">
      <c r="C3942" s="906"/>
    </row>
    <row r="3943" spans="3:3" x14ac:dyDescent="0.25">
      <c r="C3943" s="906"/>
    </row>
    <row r="3944" spans="3:3" x14ac:dyDescent="0.25">
      <c r="C3944" s="906"/>
    </row>
    <row r="3945" spans="3:3" x14ac:dyDescent="0.25">
      <c r="C3945" s="906"/>
    </row>
    <row r="3946" spans="3:3" x14ac:dyDescent="0.25">
      <c r="C3946" s="906"/>
    </row>
    <row r="3947" spans="3:3" x14ac:dyDescent="0.25">
      <c r="C3947" s="906"/>
    </row>
    <row r="3948" spans="3:3" x14ac:dyDescent="0.25">
      <c r="C3948" s="906"/>
    </row>
    <row r="3949" spans="3:3" x14ac:dyDescent="0.25">
      <c r="C3949" s="906"/>
    </row>
    <row r="3950" spans="3:3" x14ac:dyDescent="0.25">
      <c r="C3950" s="906"/>
    </row>
    <row r="3951" spans="3:3" x14ac:dyDescent="0.25">
      <c r="C3951" s="906"/>
    </row>
    <row r="3952" spans="3:3" x14ac:dyDescent="0.25">
      <c r="C3952" s="906"/>
    </row>
    <row r="3953" spans="3:3" x14ac:dyDescent="0.25">
      <c r="C3953" s="906"/>
    </row>
    <row r="3954" spans="3:3" x14ac:dyDescent="0.25">
      <c r="C3954" s="906"/>
    </row>
    <row r="3955" spans="3:3" x14ac:dyDescent="0.25">
      <c r="C3955" s="906"/>
    </row>
    <row r="3956" spans="3:3" x14ac:dyDescent="0.25">
      <c r="C3956" s="906"/>
    </row>
    <row r="3957" spans="3:3" x14ac:dyDescent="0.25">
      <c r="C3957" s="906"/>
    </row>
    <row r="3958" spans="3:3" x14ac:dyDescent="0.25">
      <c r="C3958" s="906"/>
    </row>
    <row r="3959" spans="3:3" x14ac:dyDescent="0.25">
      <c r="C3959" s="906"/>
    </row>
    <row r="3960" spans="3:3" x14ac:dyDescent="0.25">
      <c r="C3960" s="906"/>
    </row>
    <row r="3961" spans="3:3" x14ac:dyDescent="0.25">
      <c r="C3961" s="906"/>
    </row>
    <row r="3962" spans="3:3" x14ac:dyDescent="0.25">
      <c r="C3962" s="906"/>
    </row>
    <row r="3963" spans="3:3" x14ac:dyDescent="0.25">
      <c r="C3963" s="906"/>
    </row>
    <row r="3964" spans="3:3" x14ac:dyDescent="0.25">
      <c r="C3964" s="906"/>
    </row>
    <row r="3965" spans="3:3" x14ac:dyDescent="0.25">
      <c r="C3965" s="906"/>
    </row>
    <row r="3966" spans="3:3" x14ac:dyDescent="0.25">
      <c r="C3966" s="906"/>
    </row>
    <row r="3967" spans="3:3" x14ac:dyDescent="0.25">
      <c r="C3967" s="906"/>
    </row>
    <row r="3968" spans="3:3" x14ac:dyDescent="0.25">
      <c r="C3968" s="906"/>
    </row>
    <row r="3969" spans="3:3" x14ac:dyDescent="0.25">
      <c r="C3969" s="906"/>
    </row>
    <row r="3970" spans="3:3" x14ac:dyDescent="0.25">
      <c r="C3970" s="906"/>
    </row>
    <row r="3971" spans="3:3" x14ac:dyDescent="0.25">
      <c r="C3971" s="906"/>
    </row>
    <row r="3972" spans="3:3" x14ac:dyDescent="0.25">
      <c r="C3972" s="906"/>
    </row>
    <row r="3973" spans="3:3" x14ac:dyDescent="0.25">
      <c r="C3973" s="906"/>
    </row>
    <row r="3974" spans="3:3" x14ac:dyDescent="0.25">
      <c r="C3974" s="906"/>
    </row>
    <row r="3975" spans="3:3" x14ac:dyDescent="0.25">
      <c r="C3975" s="906"/>
    </row>
    <row r="3976" spans="3:3" x14ac:dyDescent="0.25">
      <c r="C3976" s="906"/>
    </row>
    <row r="3977" spans="3:3" x14ac:dyDescent="0.25">
      <c r="C3977" s="906"/>
    </row>
    <row r="3978" spans="3:3" x14ac:dyDescent="0.25">
      <c r="C3978" s="906"/>
    </row>
    <row r="3979" spans="3:3" x14ac:dyDescent="0.25">
      <c r="C3979" s="906"/>
    </row>
    <row r="3980" spans="3:3" x14ac:dyDescent="0.25">
      <c r="C3980" s="906"/>
    </row>
    <row r="3981" spans="3:3" x14ac:dyDescent="0.25">
      <c r="C3981" s="906"/>
    </row>
    <row r="3982" spans="3:3" x14ac:dyDescent="0.25">
      <c r="C3982" s="906"/>
    </row>
    <row r="3983" spans="3:3" x14ac:dyDescent="0.25">
      <c r="C3983" s="906"/>
    </row>
    <row r="3984" spans="3:3" x14ac:dyDescent="0.25">
      <c r="C3984" s="906"/>
    </row>
    <row r="3985" spans="3:3" x14ac:dyDescent="0.25">
      <c r="C3985" s="906"/>
    </row>
    <row r="3986" spans="3:3" x14ac:dyDescent="0.25">
      <c r="C3986" s="906"/>
    </row>
    <row r="3987" spans="3:3" x14ac:dyDescent="0.25">
      <c r="C3987" s="906"/>
    </row>
    <row r="3988" spans="3:3" x14ac:dyDescent="0.25">
      <c r="C3988" s="906"/>
    </row>
    <row r="3989" spans="3:3" x14ac:dyDescent="0.25">
      <c r="C3989" s="906"/>
    </row>
    <row r="3990" spans="3:3" x14ac:dyDescent="0.25">
      <c r="C3990" s="906"/>
    </row>
    <row r="3991" spans="3:3" x14ac:dyDescent="0.25">
      <c r="C3991" s="906"/>
    </row>
    <row r="3992" spans="3:3" x14ac:dyDescent="0.25">
      <c r="C3992" s="906"/>
    </row>
    <row r="3993" spans="3:3" x14ac:dyDescent="0.25">
      <c r="C3993" s="906"/>
    </row>
    <row r="3994" spans="3:3" x14ac:dyDescent="0.25">
      <c r="C3994" s="906"/>
    </row>
    <row r="3995" spans="3:3" x14ac:dyDescent="0.25">
      <c r="C3995" s="906"/>
    </row>
    <row r="3996" spans="3:3" x14ac:dyDescent="0.25">
      <c r="C3996" s="906"/>
    </row>
    <row r="3997" spans="3:3" x14ac:dyDescent="0.25">
      <c r="C3997" s="906"/>
    </row>
    <row r="3998" spans="3:3" x14ac:dyDescent="0.25">
      <c r="C3998" s="906"/>
    </row>
    <row r="3999" spans="3:3" x14ac:dyDescent="0.25">
      <c r="C3999" s="906"/>
    </row>
    <row r="4000" spans="3:3" x14ac:dyDescent="0.25">
      <c r="C4000" s="906"/>
    </row>
    <row r="4001" spans="3:3" x14ac:dyDescent="0.25">
      <c r="C4001" s="906"/>
    </row>
    <row r="4002" spans="3:3" x14ac:dyDescent="0.25">
      <c r="C4002" s="906"/>
    </row>
    <row r="4003" spans="3:3" x14ac:dyDescent="0.25">
      <c r="C4003" s="906"/>
    </row>
    <row r="4004" spans="3:3" x14ac:dyDescent="0.25">
      <c r="C4004" s="906"/>
    </row>
    <row r="4005" spans="3:3" x14ac:dyDescent="0.25">
      <c r="C4005" s="906"/>
    </row>
    <row r="4006" spans="3:3" x14ac:dyDescent="0.25">
      <c r="C4006" s="906"/>
    </row>
    <row r="4007" spans="3:3" x14ac:dyDescent="0.25">
      <c r="C4007" s="906"/>
    </row>
    <row r="4008" spans="3:3" x14ac:dyDescent="0.25">
      <c r="C4008" s="906"/>
    </row>
    <row r="4009" spans="3:3" x14ac:dyDescent="0.25">
      <c r="C4009" s="906"/>
    </row>
    <row r="4010" spans="3:3" x14ac:dyDescent="0.25">
      <c r="C4010" s="906"/>
    </row>
    <row r="4011" spans="3:3" x14ac:dyDescent="0.25">
      <c r="C4011" s="906"/>
    </row>
    <row r="4012" spans="3:3" x14ac:dyDescent="0.25">
      <c r="C4012" s="906"/>
    </row>
    <row r="4013" spans="3:3" x14ac:dyDescent="0.25">
      <c r="C4013" s="906"/>
    </row>
    <row r="4014" spans="3:3" x14ac:dyDescent="0.25">
      <c r="C4014" s="906"/>
    </row>
    <row r="4015" spans="3:3" x14ac:dyDescent="0.25">
      <c r="C4015" s="906"/>
    </row>
    <row r="4016" spans="3:3" x14ac:dyDescent="0.25">
      <c r="C4016" s="906"/>
    </row>
    <row r="4017" spans="3:3" x14ac:dyDescent="0.25">
      <c r="C4017" s="906"/>
    </row>
    <row r="4018" spans="3:3" x14ac:dyDescent="0.25">
      <c r="C4018" s="906"/>
    </row>
    <row r="4019" spans="3:3" x14ac:dyDescent="0.25">
      <c r="C4019" s="906"/>
    </row>
    <row r="4020" spans="3:3" x14ac:dyDescent="0.25">
      <c r="C4020" s="906"/>
    </row>
    <row r="4021" spans="3:3" x14ac:dyDescent="0.25">
      <c r="C4021" s="906"/>
    </row>
    <row r="4022" spans="3:3" x14ac:dyDescent="0.25">
      <c r="C4022" s="906"/>
    </row>
    <row r="4023" spans="3:3" x14ac:dyDescent="0.25">
      <c r="C4023" s="906"/>
    </row>
    <row r="4024" spans="3:3" x14ac:dyDescent="0.25">
      <c r="C4024" s="906"/>
    </row>
    <row r="4025" spans="3:3" x14ac:dyDescent="0.25">
      <c r="C4025" s="906"/>
    </row>
    <row r="4026" spans="3:3" x14ac:dyDescent="0.25">
      <c r="C4026" s="906"/>
    </row>
    <row r="4027" spans="3:3" x14ac:dyDescent="0.25">
      <c r="C4027" s="906"/>
    </row>
    <row r="4028" spans="3:3" x14ac:dyDescent="0.25">
      <c r="C4028" s="906"/>
    </row>
    <row r="4029" spans="3:3" x14ac:dyDescent="0.25">
      <c r="C4029" s="906"/>
    </row>
    <row r="4030" spans="3:3" x14ac:dyDescent="0.25">
      <c r="C4030" s="906"/>
    </row>
    <row r="4031" spans="3:3" x14ac:dyDescent="0.25">
      <c r="C4031" s="906"/>
    </row>
    <row r="4032" spans="3:3" x14ac:dyDescent="0.25">
      <c r="C4032" s="906"/>
    </row>
    <row r="4033" spans="3:3" x14ac:dyDescent="0.25">
      <c r="C4033" s="906"/>
    </row>
    <row r="4034" spans="3:3" x14ac:dyDescent="0.25">
      <c r="C4034" s="906"/>
    </row>
    <row r="4035" spans="3:3" x14ac:dyDescent="0.25">
      <c r="C4035" s="906"/>
    </row>
    <row r="4036" spans="3:3" x14ac:dyDescent="0.25">
      <c r="C4036" s="906"/>
    </row>
    <row r="4037" spans="3:3" x14ac:dyDescent="0.25">
      <c r="C4037" s="906"/>
    </row>
    <row r="4038" spans="3:3" x14ac:dyDescent="0.25">
      <c r="C4038" s="906"/>
    </row>
    <row r="4039" spans="3:3" x14ac:dyDescent="0.25">
      <c r="C4039" s="906"/>
    </row>
    <row r="4040" spans="3:3" x14ac:dyDescent="0.25">
      <c r="C4040" s="906"/>
    </row>
    <row r="4041" spans="3:3" x14ac:dyDescent="0.25">
      <c r="C4041" s="906"/>
    </row>
    <row r="4042" spans="3:3" x14ac:dyDescent="0.25">
      <c r="C4042" s="906"/>
    </row>
    <row r="4043" spans="3:3" x14ac:dyDescent="0.25">
      <c r="C4043" s="906"/>
    </row>
    <row r="4044" spans="3:3" x14ac:dyDescent="0.25">
      <c r="C4044" s="906"/>
    </row>
    <row r="4045" spans="3:3" x14ac:dyDescent="0.25">
      <c r="C4045" s="906"/>
    </row>
    <row r="4046" spans="3:3" x14ac:dyDescent="0.25">
      <c r="C4046" s="906"/>
    </row>
    <row r="4047" spans="3:3" x14ac:dyDescent="0.25">
      <c r="C4047" s="906"/>
    </row>
    <row r="4048" spans="3:3" x14ac:dyDescent="0.25">
      <c r="C4048" s="906"/>
    </row>
    <row r="4049" spans="3:3" x14ac:dyDescent="0.25">
      <c r="C4049" s="906"/>
    </row>
    <row r="4050" spans="3:3" x14ac:dyDescent="0.25">
      <c r="C4050" s="906"/>
    </row>
    <row r="4051" spans="3:3" x14ac:dyDescent="0.25">
      <c r="C4051" s="906"/>
    </row>
    <row r="4052" spans="3:3" x14ac:dyDescent="0.25">
      <c r="C4052" s="906"/>
    </row>
    <row r="4053" spans="3:3" x14ac:dyDescent="0.25">
      <c r="C4053" s="906"/>
    </row>
    <row r="4054" spans="3:3" x14ac:dyDescent="0.25">
      <c r="C4054" s="906"/>
    </row>
    <row r="4055" spans="3:3" x14ac:dyDescent="0.25">
      <c r="C4055" s="906"/>
    </row>
    <row r="4056" spans="3:3" x14ac:dyDescent="0.25">
      <c r="C4056" s="906"/>
    </row>
    <row r="4057" spans="3:3" x14ac:dyDescent="0.25">
      <c r="C4057" s="906"/>
    </row>
    <row r="4058" spans="3:3" x14ac:dyDescent="0.25">
      <c r="C4058" s="906"/>
    </row>
    <row r="4059" spans="3:3" x14ac:dyDescent="0.25">
      <c r="C4059" s="906"/>
    </row>
    <row r="4060" spans="3:3" x14ac:dyDescent="0.25">
      <c r="C4060" s="906"/>
    </row>
    <row r="4061" spans="3:3" x14ac:dyDescent="0.25">
      <c r="C4061" s="906"/>
    </row>
    <row r="4062" spans="3:3" x14ac:dyDescent="0.25">
      <c r="C4062" s="906"/>
    </row>
    <row r="4063" spans="3:3" x14ac:dyDescent="0.25">
      <c r="C4063" s="906"/>
    </row>
    <row r="4064" spans="3:3" x14ac:dyDescent="0.25">
      <c r="C4064" s="906"/>
    </row>
    <row r="4065" spans="3:3" x14ac:dyDescent="0.25">
      <c r="C4065" s="906"/>
    </row>
    <row r="4066" spans="3:3" x14ac:dyDescent="0.25">
      <c r="C4066" s="906"/>
    </row>
    <row r="4067" spans="3:3" x14ac:dyDescent="0.25">
      <c r="C4067" s="906"/>
    </row>
    <row r="4068" spans="3:3" x14ac:dyDescent="0.25">
      <c r="C4068" s="906"/>
    </row>
    <row r="4069" spans="3:3" x14ac:dyDescent="0.25">
      <c r="C4069" s="906"/>
    </row>
    <row r="4070" spans="3:3" x14ac:dyDescent="0.25">
      <c r="C4070" s="906"/>
    </row>
    <row r="4071" spans="3:3" x14ac:dyDescent="0.25">
      <c r="C4071" s="906"/>
    </row>
    <row r="4072" spans="3:3" x14ac:dyDescent="0.25">
      <c r="C4072" s="906"/>
    </row>
    <row r="4073" spans="3:3" x14ac:dyDescent="0.25">
      <c r="C4073" s="906"/>
    </row>
    <row r="4074" spans="3:3" x14ac:dyDescent="0.25">
      <c r="C4074" s="906"/>
    </row>
    <row r="4075" spans="3:3" x14ac:dyDescent="0.25">
      <c r="C4075" s="906"/>
    </row>
    <row r="4076" spans="3:3" x14ac:dyDescent="0.25">
      <c r="C4076" s="906"/>
    </row>
    <row r="4077" spans="3:3" x14ac:dyDescent="0.25">
      <c r="C4077" s="906"/>
    </row>
    <row r="4078" spans="3:3" x14ac:dyDescent="0.25">
      <c r="C4078" s="906"/>
    </row>
    <row r="4079" spans="3:3" x14ac:dyDescent="0.25">
      <c r="C4079" s="906"/>
    </row>
    <row r="4080" spans="3:3" x14ac:dyDescent="0.25">
      <c r="C4080" s="906"/>
    </row>
    <row r="4081" spans="3:3" x14ac:dyDescent="0.25">
      <c r="C4081" s="906"/>
    </row>
    <row r="4082" spans="3:3" x14ac:dyDescent="0.25">
      <c r="C4082" s="906"/>
    </row>
    <row r="4083" spans="3:3" x14ac:dyDescent="0.25">
      <c r="C4083" s="906"/>
    </row>
    <row r="4084" spans="3:3" x14ac:dyDescent="0.25">
      <c r="C4084" s="906"/>
    </row>
    <row r="4085" spans="3:3" x14ac:dyDescent="0.25">
      <c r="C4085" s="906"/>
    </row>
    <row r="4086" spans="3:3" x14ac:dyDescent="0.25">
      <c r="C4086" s="906"/>
    </row>
    <row r="4087" spans="3:3" x14ac:dyDescent="0.25">
      <c r="C4087" s="906"/>
    </row>
    <row r="4088" spans="3:3" x14ac:dyDescent="0.25">
      <c r="C4088" s="906"/>
    </row>
    <row r="4089" spans="3:3" x14ac:dyDescent="0.25">
      <c r="C4089" s="906"/>
    </row>
    <row r="4090" spans="3:3" x14ac:dyDescent="0.25">
      <c r="C4090" s="906"/>
    </row>
    <row r="4091" spans="3:3" x14ac:dyDescent="0.25">
      <c r="C4091" s="906"/>
    </row>
    <row r="4092" spans="3:3" x14ac:dyDescent="0.25">
      <c r="C4092" s="906"/>
    </row>
    <row r="4093" spans="3:3" x14ac:dyDescent="0.25">
      <c r="C4093" s="906"/>
    </row>
    <row r="4094" spans="3:3" x14ac:dyDescent="0.25">
      <c r="C4094" s="906"/>
    </row>
    <row r="4095" spans="3:3" x14ac:dyDescent="0.25">
      <c r="C4095" s="906"/>
    </row>
    <row r="4096" spans="3:3" x14ac:dyDescent="0.25">
      <c r="C4096" s="906"/>
    </row>
    <row r="4097" spans="3:3" x14ac:dyDescent="0.25">
      <c r="C4097" s="906"/>
    </row>
    <row r="4098" spans="3:3" x14ac:dyDescent="0.25">
      <c r="C4098" s="906"/>
    </row>
    <row r="4099" spans="3:3" x14ac:dyDescent="0.25">
      <c r="C4099" s="906"/>
    </row>
    <row r="4100" spans="3:3" x14ac:dyDescent="0.25">
      <c r="C4100" s="906"/>
    </row>
    <row r="4101" spans="3:3" x14ac:dyDescent="0.25">
      <c r="C4101" s="906"/>
    </row>
    <row r="4102" spans="3:3" x14ac:dyDescent="0.25">
      <c r="C4102" s="906"/>
    </row>
    <row r="4103" spans="3:3" x14ac:dyDescent="0.25">
      <c r="C4103" s="906"/>
    </row>
    <row r="4104" spans="3:3" x14ac:dyDescent="0.25">
      <c r="C4104" s="906"/>
    </row>
    <row r="4105" spans="3:3" x14ac:dyDescent="0.25">
      <c r="C4105" s="906"/>
    </row>
    <row r="4106" spans="3:3" x14ac:dyDescent="0.25">
      <c r="C4106" s="906"/>
    </row>
    <row r="4107" spans="3:3" x14ac:dyDescent="0.25">
      <c r="C4107" s="906"/>
    </row>
    <row r="4108" spans="3:3" x14ac:dyDescent="0.25">
      <c r="C4108" s="906"/>
    </row>
    <row r="4109" spans="3:3" x14ac:dyDescent="0.25">
      <c r="C4109" s="906"/>
    </row>
    <row r="4110" spans="3:3" x14ac:dyDescent="0.25">
      <c r="C4110" s="906"/>
    </row>
    <row r="4111" spans="3:3" x14ac:dyDescent="0.25">
      <c r="C4111" s="906"/>
    </row>
    <row r="4112" spans="3:3" x14ac:dyDescent="0.25">
      <c r="C4112" s="906"/>
    </row>
    <row r="4113" spans="3:3" x14ac:dyDescent="0.25">
      <c r="C4113" s="906"/>
    </row>
    <row r="4114" spans="3:3" x14ac:dyDescent="0.25">
      <c r="C4114" s="906"/>
    </row>
    <row r="4115" spans="3:3" x14ac:dyDescent="0.25">
      <c r="C4115" s="906"/>
    </row>
    <row r="4116" spans="3:3" x14ac:dyDescent="0.25">
      <c r="C4116" s="906"/>
    </row>
    <row r="4117" spans="3:3" x14ac:dyDescent="0.25">
      <c r="C4117" s="906"/>
    </row>
    <row r="4118" spans="3:3" x14ac:dyDescent="0.25">
      <c r="C4118" s="906"/>
    </row>
    <row r="4119" spans="3:3" x14ac:dyDescent="0.25">
      <c r="C4119" s="906"/>
    </row>
    <row r="4120" spans="3:3" x14ac:dyDescent="0.25">
      <c r="C4120" s="906"/>
    </row>
    <row r="4121" spans="3:3" x14ac:dyDescent="0.25">
      <c r="C4121" s="906"/>
    </row>
    <row r="4122" spans="3:3" x14ac:dyDescent="0.25">
      <c r="C4122" s="906"/>
    </row>
    <row r="4123" spans="3:3" x14ac:dyDescent="0.25">
      <c r="C4123" s="906"/>
    </row>
    <row r="4124" spans="3:3" x14ac:dyDescent="0.25">
      <c r="C4124" s="906"/>
    </row>
    <row r="4125" spans="3:3" x14ac:dyDescent="0.25">
      <c r="C4125" s="906"/>
    </row>
    <row r="4126" spans="3:3" x14ac:dyDescent="0.25">
      <c r="C4126" s="906"/>
    </row>
    <row r="4127" spans="3:3" x14ac:dyDescent="0.25">
      <c r="C4127" s="906"/>
    </row>
    <row r="4128" spans="3:3" x14ac:dyDescent="0.25">
      <c r="C4128" s="906"/>
    </row>
    <row r="4129" spans="3:3" x14ac:dyDescent="0.25">
      <c r="C4129" s="906"/>
    </row>
    <row r="4130" spans="3:3" x14ac:dyDescent="0.25">
      <c r="C4130" s="906"/>
    </row>
    <row r="4131" spans="3:3" x14ac:dyDescent="0.25">
      <c r="C4131" s="906"/>
    </row>
    <row r="4132" spans="3:3" x14ac:dyDescent="0.25">
      <c r="C4132" s="906"/>
    </row>
    <row r="4133" spans="3:3" x14ac:dyDescent="0.25">
      <c r="C4133" s="906"/>
    </row>
    <row r="4134" spans="3:3" x14ac:dyDescent="0.25">
      <c r="C4134" s="906"/>
    </row>
    <row r="4135" spans="3:3" x14ac:dyDescent="0.25">
      <c r="C4135" s="906"/>
    </row>
    <row r="4136" spans="3:3" x14ac:dyDescent="0.25">
      <c r="C4136" s="906"/>
    </row>
    <row r="4137" spans="3:3" x14ac:dyDescent="0.25">
      <c r="C4137" s="906"/>
    </row>
    <row r="4138" spans="3:3" x14ac:dyDescent="0.25">
      <c r="C4138" s="906"/>
    </row>
    <row r="4139" spans="3:3" x14ac:dyDescent="0.25">
      <c r="C4139" s="906"/>
    </row>
    <row r="4140" spans="3:3" x14ac:dyDescent="0.25">
      <c r="C4140" s="906"/>
    </row>
    <row r="4141" spans="3:3" x14ac:dyDescent="0.25">
      <c r="C4141" s="906"/>
    </row>
    <row r="4142" spans="3:3" x14ac:dyDescent="0.25">
      <c r="C4142" s="906"/>
    </row>
    <row r="4143" spans="3:3" x14ac:dyDescent="0.25">
      <c r="C4143" s="906"/>
    </row>
    <row r="4144" spans="3:3" x14ac:dyDescent="0.25">
      <c r="C4144" s="906"/>
    </row>
    <row r="4145" spans="3:3" x14ac:dyDescent="0.25">
      <c r="C4145" s="906"/>
    </row>
    <row r="4146" spans="3:3" x14ac:dyDescent="0.25">
      <c r="C4146" s="906"/>
    </row>
    <row r="4147" spans="3:3" x14ac:dyDescent="0.25">
      <c r="C4147" s="906"/>
    </row>
    <row r="4148" spans="3:3" x14ac:dyDescent="0.25">
      <c r="C4148" s="906"/>
    </row>
    <row r="4149" spans="3:3" x14ac:dyDescent="0.25">
      <c r="C4149" s="906"/>
    </row>
    <row r="4150" spans="3:3" x14ac:dyDescent="0.25">
      <c r="C4150" s="906"/>
    </row>
    <row r="4151" spans="3:3" x14ac:dyDescent="0.25">
      <c r="C4151" s="906"/>
    </row>
    <row r="4152" spans="3:3" x14ac:dyDescent="0.25">
      <c r="C4152" s="906"/>
    </row>
    <row r="4153" spans="3:3" x14ac:dyDescent="0.25">
      <c r="C4153" s="906"/>
    </row>
    <row r="4154" spans="3:3" x14ac:dyDescent="0.25">
      <c r="C4154" s="906"/>
    </row>
    <row r="4155" spans="3:3" x14ac:dyDescent="0.25">
      <c r="C4155" s="906"/>
    </row>
    <row r="4156" spans="3:3" x14ac:dyDescent="0.25">
      <c r="C4156" s="906"/>
    </row>
    <row r="4157" spans="3:3" x14ac:dyDescent="0.25">
      <c r="C4157" s="906"/>
    </row>
    <row r="4158" spans="3:3" x14ac:dyDescent="0.25">
      <c r="C4158" s="906"/>
    </row>
    <row r="4159" spans="3:3" x14ac:dyDescent="0.25">
      <c r="C4159" s="906"/>
    </row>
    <row r="4160" spans="3:3" x14ac:dyDescent="0.25">
      <c r="C4160" s="906"/>
    </row>
    <row r="4161" spans="3:3" x14ac:dyDescent="0.25">
      <c r="C4161" s="906"/>
    </row>
    <row r="4162" spans="3:3" x14ac:dyDescent="0.25">
      <c r="C4162" s="906"/>
    </row>
    <row r="4163" spans="3:3" x14ac:dyDescent="0.25">
      <c r="C4163" s="906"/>
    </row>
    <row r="4164" spans="3:3" x14ac:dyDescent="0.25">
      <c r="C4164" s="906"/>
    </row>
    <row r="4165" spans="3:3" x14ac:dyDescent="0.25">
      <c r="C4165" s="906"/>
    </row>
    <row r="4166" spans="3:3" x14ac:dyDescent="0.25">
      <c r="C4166" s="906"/>
    </row>
    <row r="4167" spans="3:3" x14ac:dyDescent="0.25">
      <c r="C4167" s="906"/>
    </row>
    <row r="4168" spans="3:3" x14ac:dyDescent="0.25">
      <c r="C4168" s="906"/>
    </row>
    <row r="4169" spans="3:3" x14ac:dyDescent="0.25">
      <c r="C4169" s="906"/>
    </row>
    <row r="4170" spans="3:3" x14ac:dyDescent="0.25">
      <c r="C4170" s="906"/>
    </row>
    <row r="4171" spans="3:3" x14ac:dyDescent="0.25">
      <c r="C4171" s="906"/>
    </row>
    <row r="4172" spans="3:3" x14ac:dyDescent="0.25">
      <c r="C4172" s="906"/>
    </row>
    <row r="4173" spans="3:3" x14ac:dyDescent="0.25">
      <c r="C4173" s="906"/>
    </row>
    <row r="4174" spans="3:3" x14ac:dyDescent="0.25">
      <c r="C4174" s="906"/>
    </row>
    <row r="4175" spans="3:3" x14ac:dyDescent="0.25">
      <c r="C4175" s="906"/>
    </row>
    <row r="4176" spans="3:3" x14ac:dyDescent="0.25">
      <c r="C4176" s="906"/>
    </row>
    <row r="4177" spans="3:3" x14ac:dyDescent="0.25">
      <c r="C4177" s="906"/>
    </row>
    <row r="4178" spans="3:3" x14ac:dyDescent="0.25">
      <c r="C4178" s="906"/>
    </row>
    <row r="4179" spans="3:3" x14ac:dyDescent="0.25">
      <c r="C4179" s="906"/>
    </row>
    <row r="4180" spans="3:3" x14ac:dyDescent="0.25">
      <c r="C4180" s="906"/>
    </row>
    <row r="4181" spans="3:3" x14ac:dyDescent="0.25">
      <c r="C4181" s="906"/>
    </row>
    <row r="4182" spans="3:3" x14ac:dyDescent="0.25">
      <c r="C4182" s="906"/>
    </row>
    <row r="4183" spans="3:3" x14ac:dyDescent="0.25">
      <c r="C4183" s="906"/>
    </row>
    <row r="4184" spans="3:3" x14ac:dyDescent="0.25">
      <c r="C4184" s="906"/>
    </row>
    <row r="4185" spans="3:3" x14ac:dyDescent="0.25">
      <c r="C4185" s="906"/>
    </row>
    <row r="4186" spans="3:3" x14ac:dyDescent="0.25">
      <c r="C4186" s="906"/>
    </row>
    <row r="4187" spans="3:3" x14ac:dyDescent="0.25">
      <c r="C4187" s="906"/>
    </row>
    <row r="4188" spans="3:3" x14ac:dyDescent="0.25">
      <c r="C4188" s="906"/>
    </row>
    <row r="4189" spans="3:3" x14ac:dyDescent="0.25">
      <c r="C4189" s="906"/>
    </row>
    <row r="4190" spans="3:3" x14ac:dyDescent="0.25">
      <c r="C4190" s="906"/>
    </row>
    <row r="4191" spans="3:3" x14ac:dyDescent="0.25">
      <c r="C4191" s="906"/>
    </row>
    <row r="4192" spans="3:3" x14ac:dyDescent="0.25">
      <c r="C4192" s="906"/>
    </row>
    <row r="4193" spans="3:3" x14ac:dyDescent="0.25">
      <c r="C4193" s="906"/>
    </row>
    <row r="4194" spans="3:3" x14ac:dyDescent="0.25">
      <c r="C4194" s="906"/>
    </row>
    <row r="4195" spans="3:3" x14ac:dyDescent="0.25">
      <c r="C4195" s="906"/>
    </row>
    <row r="4196" spans="3:3" x14ac:dyDescent="0.25">
      <c r="C4196" s="906"/>
    </row>
    <row r="4197" spans="3:3" x14ac:dyDescent="0.25">
      <c r="C4197" s="906"/>
    </row>
    <row r="4198" spans="3:3" x14ac:dyDescent="0.25">
      <c r="C4198" s="906"/>
    </row>
    <row r="4199" spans="3:3" x14ac:dyDescent="0.25">
      <c r="C4199" s="906"/>
    </row>
    <row r="4200" spans="3:3" x14ac:dyDescent="0.25">
      <c r="C4200" s="906"/>
    </row>
    <row r="4201" spans="3:3" x14ac:dyDescent="0.25">
      <c r="C4201" s="906"/>
    </row>
    <row r="4202" spans="3:3" x14ac:dyDescent="0.25">
      <c r="C4202" s="906"/>
    </row>
    <row r="4203" spans="3:3" x14ac:dyDescent="0.25">
      <c r="C4203" s="906"/>
    </row>
    <row r="4204" spans="3:3" x14ac:dyDescent="0.25">
      <c r="C4204" s="906"/>
    </row>
    <row r="4205" spans="3:3" x14ac:dyDescent="0.25">
      <c r="C4205" s="906"/>
    </row>
    <row r="4206" spans="3:3" x14ac:dyDescent="0.25">
      <c r="C4206" s="906"/>
    </row>
    <row r="4207" spans="3:3" x14ac:dyDescent="0.25">
      <c r="C4207" s="906"/>
    </row>
    <row r="4208" spans="3:3" x14ac:dyDescent="0.25">
      <c r="C4208" s="906"/>
    </row>
    <row r="4209" spans="3:3" x14ac:dyDescent="0.25">
      <c r="C4209" s="906"/>
    </row>
    <row r="4210" spans="3:3" x14ac:dyDescent="0.25">
      <c r="C4210" s="906"/>
    </row>
    <row r="4211" spans="3:3" x14ac:dyDescent="0.25">
      <c r="C4211" s="906"/>
    </row>
    <row r="4212" spans="3:3" x14ac:dyDescent="0.25">
      <c r="C4212" s="906"/>
    </row>
    <row r="4213" spans="3:3" x14ac:dyDescent="0.25">
      <c r="C4213" s="906"/>
    </row>
    <row r="4214" spans="3:3" x14ac:dyDescent="0.25">
      <c r="C4214" s="906"/>
    </row>
    <row r="4215" spans="3:3" x14ac:dyDescent="0.25">
      <c r="C4215" s="906"/>
    </row>
    <row r="4216" spans="3:3" x14ac:dyDescent="0.25">
      <c r="C4216" s="906"/>
    </row>
    <row r="4217" spans="3:3" x14ac:dyDescent="0.25">
      <c r="C4217" s="906"/>
    </row>
    <row r="4218" spans="3:3" x14ac:dyDescent="0.25">
      <c r="C4218" s="906"/>
    </row>
    <row r="4219" spans="3:3" x14ac:dyDescent="0.25">
      <c r="C4219" s="906"/>
    </row>
    <row r="4220" spans="3:3" x14ac:dyDescent="0.25">
      <c r="C4220" s="906"/>
    </row>
    <row r="4221" spans="3:3" x14ac:dyDescent="0.25">
      <c r="C4221" s="906"/>
    </row>
    <row r="4222" spans="3:3" x14ac:dyDescent="0.25">
      <c r="C4222" s="906"/>
    </row>
    <row r="4223" spans="3:3" x14ac:dyDescent="0.25">
      <c r="C4223" s="906"/>
    </row>
    <row r="4224" spans="3:3" x14ac:dyDescent="0.25">
      <c r="C4224" s="906"/>
    </row>
    <row r="4225" spans="3:3" x14ac:dyDescent="0.25">
      <c r="C4225" s="906"/>
    </row>
    <row r="4226" spans="3:3" x14ac:dyDescent="0.25">
      <c r="C4226" s="906"/>
    </row>
    <row r="4227" spans="3:3" x14ac:dyDescent="0.25">
      <c r="C4227" s="906"/>
    </row>
    <row r="4228" spans="3:3" x14ac:dyDescent="0.25">
      <c r="C4228" s="906"/>
    </row>
    <row r="4229" spans="3:3" x14ac:dyDescent="0.25">
      <c r="C4229" s="906"/>
    </row>
    <row r="4230" spans="3:3" x14ac:dyDescent="0.25">
      <c r="C4230" s="906"/>
    </row>
    <row r="4231" spans="3:3" x14ac:dyDescent="0.25">
      <c r="C4231" s="906"/>
    </row>
    <row r="4232" spans="3:3" x14ac:dyDescent="0.25">
      <c r="C4232" s="906"/>
    </row>
    <row r="4233" spans="3:3" x14ac:dyDescent="0.25">
      <c r="C4233" s="906"/>
    </row>
    <row r="4234" spans="3:3" x14ac:dyDescent="0.25">
      <c r="C4234" s="906"/>
    </row>
    <row r="4235" spans="3:3" x14ac:dyDescent="0.25">
      <c r="C4235" s="906"/>
    </row>
    <row r="4236" spans="3:3" x14ac:dyDescent="0.25">
      <c r="C4236" s="906"/>
    </row>
    <row r="4237" spans="3:3" x14ac:dyDescent="0.25">
      <c r="C4237" s="906"/>
    </row>
    <row r="4238" spans="3:3" x14ac:dyDescent="0.25">
      <c r="C4238" s="906"/>
    </row>
    <row r="4239" spans="3:3" x14ac:dyDescent="0.25">
      <c r="C4239" s="906"/>
    </row>
    <row r="4240" spans="3:3" x14ac:dyDescent="0.25">
      <c r="C4240" s="906"/>
    </row>
    <row r="4241" spans="3:3" x14ac:dyDescent="0.25">
      <c r="C4241" s="906"/>
    </row>
    <row r="4242" spans="3:3" x14ac:dyDescent="0.25">
      <c r="C4242" s="906"/>
    </row>
    <row r="4243" spans="3:3" x14ac:dyDescent="0.25">
      <c r="C4243" s="906"/>
    </row>
    <row r="4244" spans="3:3" x14ac:dyDescent="0.25">
      <c r="C4244" s="906"/>
    </row>
    <row r="4245" spans="3:3" x14ac:dyDescent="0.25">
      <c r="C4245" s="906"/>
    </row>
    <row r="4246" spans="3:3" x14ac:dyDescent="0.25">
      <c r="C4246" s="906"/>
    </row>
    <row r="4247" spans="3:3" x14ac:dyDescent="0.25">
      <c r="C4247" s="906"/>
    </row>
    <row r="4248" spans="3:3" x14ac:dyDescent="0.25">
      <c r="C4248" s="906"/>
    </row>
    <row r="4249" spans="3:3" x14ac:dyDescent="0.25">
      <c r="C4249" s="906"/>
    </row>
    <row r="4250" spans="3:3" x14ac:dyDescent="0.25">
      <c r="C4250" s="906"/>
    </row>
    <row r="4251" spans="3:3" x14ac:dyDescent="0.25">
      <c r="C4251" s="906"/>
    </row>
    <row r="4252" spans="3:3" x14ac:dyDescent="0.25">
      <c r="C4252" s="906"/>
    </row>
    <row r="4253" spans="3:3" x14ac:dyDescent="0.25">
      <c r="C4253" s="906"/>
    </row>
    <row r="4254" spans="3:3" x14ac:dyDescent="0.25">
      <c r="C4254" s="906"/>
    </row>
    <row r="4255" spans="3:3" x14ac:dyDescent="0.25">
      <c r="C4255" s="906"/>
    </row>
    <row r="4256" spans="3:3" x14ac:dyDescent="0.25">
      <c r="C4256" s="906"/>
    </row>
    <row r="4257" spans="3:3" x14ac:dyDescent="0.25">
      <c r="C4257" s="906"/>
    </row>
    <row r="4258" spans="3:3" x14ac:dyDescent="0.25">
      <c r="C4258" s="906"/>
    </row>
    <row r="4259" spans="3:3" x14ac:dyDescent="0.25">
      <c r="C4259" s="906"/>
    </row>
    <row r="4260" spans="3:3" x14ac:dyDescent="0.25">
      <c r="C4260" s="906"/>
    </row>
    <row r="4261" spans="3:3" x14ac:dyDescent="0.25">
      <c r="C4261" s="906"/>
    </row>
    <row r="4262" spans="3:3" x14ac:dyDescent="0.25">
      <c r="C4262" s="906"/>
    </row>
    <row r="4263" spans="3:3" x14ac:dyDescent="0.25">
      <c r="C4263" s="906"/>
    </row>
    <row r="4264" spans="3:3" x14ac:dyDescent="0.25">
      <c r="C4264" s="906"/>
    </row>
    <row r="4265" spans="3:3" x14ac:dyDescent="0.25">
      <c r="C4265" s="906"/>
    </row>
    <row r="4266" spans="3:3" x14ac:dyDescent="0.25">
      <c r="C4266" s="906"/>
    </row>
    <row r="4267" spans="3:3" x14ac:dyDescent="0.25">
      <c r="C4267" s="906"/>
    </row>
    <row r="4268" spans="3:3" x14ac:dyDescent="0.25">
      <c r="C4268" s="906"/>
    </row>
    <row r="4269" spans="3:3" x14ac:dyDescent="0.25">
      <c r="C4269" s="906"/>
    </row>
    <row r="4270" spans="3:3" x14ac:dyDescent="0.25">
      <c r="C4270" s="906"/>
    </row>
    <row r="4271" spans="3:3" x14ac:dyDescent="0.25">
      <c r="C4271" s="906"/>
    </row>
    <row r="4272" spans="3:3" x14ac:dyDescent="0.25">
      <c r="C4272" s="906"/>
    </row>
    <row r="4273" spans="3:3" x14ac:dyDescent="0.25">
      <c r="C4273" s="906"/>
    </row>
    <row r="4274" spans="3:3" x14ac:dyDescent="0.25">
      <c r="C4274" s="906"/>
    </row>
    <row r="4275" spans="3:3" x14ac:dyDescent="0.25">
      <c r="C4275" s="906"/>
    </row>
    <row r="4276" spans="3:3" x14ac:dyDescent="0.25">
      <c r="C4276" s="906"/>
    </row>
    <row r="4277" spans="3:3" x14ac:dyDescent="0.25">
      <c r="C4277" s="906"/>
    </row>
    <row r="4278" spans="3:3" x14ac:dyDescent="0.25">
      <c r="C4278" s="906"/>
    </row>
    <row r="4279" spans="3:3" x14ac:dyDescent="0.25">
      <c r="C4279" s="906"/>
    </row>
    <row r="4280" spans="3:3" x14ac:dyDescent="0.25">
      <c r="C4280" s="906"/>
    </row>
    <row r="4281" spans="3:3" x14ac:dyDescent="0.25">
      <c r="C4281" s="906"/>
    </row>
    <row r="4282" spans="3:3" x14ac:dyDescent="0.25">
      <c r="C4282" s="906"/>
    </row>
    <row r="4283" spans="3:3" x14ac:dyDescent="0.25">
      <c r="C4283" s="906"/>
    </row>
    <row r="4284" spans="3:3" x14ac:dyDescent="0.25">
      <c r="C4284" s="906"/>
    </row>
    <row r="4285" spans="3:3" x14ac:dyDescent="0.25">
      <c r="C4285" s="906"/>
    </row>
    <row r="4286" spans="3:3" x14ac:dyDescent="0.25">
      <c r="C4286" s="906"/>
    </row>
    <row r="4287" spans="3:3" x14ac:dyDescent="0.25">
      <c r="C4287" s="906"/>
    </row>
    <row r="4288" spans="3:3" x14ac:dyDescent="0.25">
      <c r="C4288" s="906"/>
    </row>
    <row r="4289" spans="3:3" x14ac:dyDescent="0.25">
      <c r="C4289" s="906"/>
    </row>
    <row r="4290" spans="3:3" x14ac:dyDescent="0.25">
      <c r="C4290" s="906"/>
    </row>
    <row r="4291" spans="3:3" x14ac:dyDescent="0.25">
      <c r="C4291" s="906"/>
    </row>
    <row r="4292" spans="3:3" x14ac:dyDescent="0.25">
      <c r="C4292" s="906"/>
    </row>
    <row r="4293" spans="3:3" x14ac:dyDescent="0.25">
      <c r="C4293" s="906"/>
    </row>
    <row r="4294" spans="3:3" x14ac:dyDescent="0.25">
      <c r="C4294" s="906"/>
    </row>
    <row r="4295" spans="3:3" x14ac:dyDescent="0.25">
      <c r="C4295" s="906"/>
    </row>
    <row r="4296" spans="3:3" x14ac:dyDescent="0.25">
      <c r="C4296" s="906"/>
    </row>
    <row r="4297" spans="3:3" x14ac:dyDescent="0.25">
      <c r="C4297" s="906"/>
    </row>
    <row r="4298" spans="3:3" x14ac:dyDescent="0.25">
      <c r="C4298" s="906"/>
    </row>
    <row r="4299" spans="3:3" x14ac:dyDescent="0.25">
      <c r="C4299" s="906"/>
    </row>
    <row r="4300" spans="3:3" x14ac:dyDescent="0.25">
      <c r="C4300" s="906"/>
    </row>
    <row r="4301" spans="3:3" x14ac:dyDescent="0.25">
      <c r="C4301" s="906"/>
    </row>
    <row r="4302" spans="3:3" x14ac:dyDescent="0.25">
      <c r="C4302" s="906"/>
    </row>
    <row r="4303" spans="3:3" x14ac:dyDescent="0.25">
      <c r="C4303" s="906"/>
    </row>
    <row r="4304" spans="3:3" x14ac:dyDescent="0.25">
      <c r="C4304" s="906"/>
    </row>
    <row r="4305" spans="3:3" x14ac:dyDescent="0.25">
      <c r="C4305" s="906"/>
    </row>
    <row r="4306" spans="3:3" x14ac:dyDescent="0.25">
      <c r="C4306" s="906"/>
    </row>
    <row r="4307" spans="3:3" x14ac:dyDescent="0.25">
      <c r="C4307" s="906"/>
    </row>
    <row r="4308" spans="3:3" x14ac:dyDescent="0.25">
      <c r="C4308" s="906"/>
    </row>
    <row r="4309" spans="3:3" x14ac:dyDescent="0.25">
      <c r="C4309" s="906"/>
    </row>
    <row r="4310" spans="3:3" x14ac:dyDescent="0.25">
      <c r="C4310" s="906"/>
    </row>
    <row r="4311" spans="3:3" x14ac:dyDescent="0.25">
      <c r="C4311" s="906"/>
    </row>
    <row r="4312" spans="3:3" x14ac:dyDescent="0.25">
      <c r="C4312" s="906"/>
    </row>
    <row r="4313" spans="3:3" x14ac:dyDescent="0.25">
      <c r="C4313" s="906"/>
    </row>
    <row r="4314" spans="3:3" x14ac:dyDescent="0.25">
      <c r="C4314" s="906"/>
    </row>
    <row r="4315" spans="3:3" x14ac:dyDescent="0.25">
      <c r="C4315" s="906"/>
    </row>
    <row r="4316" spans="3:3" x14ac:dyDescent="0.25">
      <c r="C4316" s="906"/>
    </row>
    <row r="4317" spans="3:3" x14ac:dyDescent="0.25">
      <c r="C4317" s="906"/>
    </row>
    <row r="4318" spans="3:3" x14ac:dyDescent="0.25">
      <c r="C4318" s="906"/>
    </row>
    <row r="4319" spans="3:3" x14ac:dyDescent="0.25">
      <c r="C4319" s="906"/>
    </row>
    <row r="4320" spans="3:3" x14ac:dyDescent="0.25">
      <c r="C4320" s="906"/>
    </row>
    <row r="4321" spans="3:3" x14ac:dyDescent="0.25">
      <c r="C4321" s="906"/>
    </row>
    <row r="4322" spans="3:3" x14ac:dyDescent="0.25">
      <c r="C4322" s="906"/>
    </row>
    <row r="4323" spans="3:3" x14ac:dyDescent="0.25">
      <c r="C4323" s="906"/>
    </row>
    <row r="4324" spans="3:3" x14ac:dyDescent="0.25">
      <c r="C4324" s="906"/>
    </row>
    <row r="4325" spans="3:3" x14ac:dyDescent="0.25">
      <c r="C4325" s="906"/>
    </row>
    <row r="4326" spans="3:3" x14ac:dyDescent="0.25">
      <c r="C4326" s="906"/>
    </row>
    <row r="4327" spans="3:3" x14ac:dyDescent="0.25">
      <c r="C4327" s="906"/>
    </row>
    <row r="4328" spans="3:3" x14ac:dyDescent="0.25">
      <c r="C4328" s="906"/>
    </row>
    <row r="4329" spans="3:3" x14ac:dyDescent="0.25">
      <c r="C4329" s="906"/>
    </row>
    <row r="4330" spans="3:3" x14ac:dyDescent="0.25">
      <c r="C4330" s="906"/>
    </row>
    <row r="4331" spans="3:3" x14ac:dyDescent="0.25">
      <c r="C4331" s="906"/>
    </row>
    <row r="4332" spans="3:3" x14ac:dyDescent="0.25">
      <c r="C4332" s="906"/>
    </row>
    <row r="4333" spans="3:3" x14ac:dyDescent="0.25">
      <c r="C4333" s="906"/>
    </row>
    <row r="4334" spans="3:3" x14ac:dyDescent="0.25">
      <c r="C4334" s="906"/>
    </row>
    <row r="4335" spans="3:3" x14ac:dyDescent="0.25">
      <c r="C4335" s="906"/>
    </row>
    <row r="4336" spans="3:3" x14ac:dyDescent="0.25">
      <c r="C4336" s="906"/>
    </row>
    <row r="4337" spans="3:3" x14ac:dyDescent="0.25">
      <c r="C4337" s="906"/>
    </row>
    <row r="4338" spans="3:3" x14ac:dyDescent="0.25">
      <c r="C4338" s="906"/>
    </row>
    <row r="4339" spans="3:3" x14ac:dyDescent="0.25">
      <c r="C4339" s="906"/>
    </row>
    <row r="4340" spans="3:3" x14ac:dyDescent="0.25">
      <c r="C4340" s="906"/>
    </row>
    <row r="4341" spans="3:3" x14ac:dyDescent="0.25">
      <c r="C4341" s="906"/>
    </row>
    <row r="4342" spans="3:3" x14ac:dyDescent="0.25">
      <c r="C4342" s="906"/>
    </row>
    <row r="4343" spans="3:3" x14ac:dyDescent="0.25">
      <c r="C4343" s="906"/>
    </row>
    <row r="4344" spans="3:3" x14ac:dyDescent="0.25">
      <c r="C4344" s="906"/>
    </row>
    <row r="4345" spans="3:3" x14ac:dyDescent="0.25">
      <c r="C4345" s="906"/>
    </row>
    <row r="4346" spans="3:3" x14ac:dyDescent="0.25">
      <c r="C4346" s="906"/>
    </row>
    <row r="4347" spans="3:3" x14ac:dyDescent="0.25">
      <c r="C4347" s="906"/>
    </row>
    <row r="4348" spans="3:3" x14ac:dyDescent="0.25">
      <c r="C4348" s="906"/>
    </row>
    <row r="4349" spans="3:3" x14ac:dyDescent="0.25">
      <c r="C4349" s="906"/>
    </row>
    <row r="4350" spans="3:3" x14ac:dyDescent="0.25">
      <c r="C4350" s="906"/>
    </row>
    <row r="4351" spans="3:3" x14ac:dyDescent="0.25">
      <c r="C4351" s="906"/>
    </row>
    <row r="4352" spans="3:3" x14ac:dyDescent="0.25">
      <c r="C4352" s="906"/>
    </row>
    <row r="4353" spans="3:3" x14ac:dyDescent="0.25">
      <c r="C4353" s="906"/>
    </row>
    <row r="4354" spans="3:3" x14ac:dyDescent="0.25">
      <c r="C4354" s="906"/>
    </row>
    <row r="4355" spans="3:3" x14ac:dyDescent="0.25">
      <c r="C4355" s="906"/>
    </row>
    <row r="4356" spans="3:3" x14ac:dyDescent="0.25">
      <c r="C4356" s="906"/>
    </row>
    <row r="4357" spans="3:3" x14ac:dyDescent="0.25">
      <c r="C4357" s="906"/>
    </row>
    <row r="4358" spans="3:3" x14ac:dyDescent="0.25">
      <c r="C4358" s="906"/>
    </row>
    <row r="4359" spans="3:3" x14ac:dyDescent="0.25">
      <c r="C4359" s="906"/>
    </row>
    <row r="4360" spans="3:3" x14ac:dyDescent="0.25">
      <c r="C4360" s="906"/>
    </row>
    <row r="4361" spans="3:3" x14ac:dyDescent="0.25">
      <c r="C4361" s="906"/>
    </row>
    <row r="4362" spans="3:3" x14ac:dyDescent="0.25">
      <c r="C4362" s="906"/>
    </row>
    <row r="4363" spans="3:3" x14ac:dyDescent="0.25">
      <c r="C4363" s="906"/>
    </row>
    <row r="4364" spans="3:3" x14ac:dyDescent="0.25">
      <c r="C4364" s="906"/>
    </row>
    <row r="4365" spans="3:3" x14ac:dyDescent="0.25">
      <c r="C4365" s="906"/>
    </row>
    <row r="4366" spans="3:3" x14ac:dyDescent="0.25">
      <c r="C4366" s="906"/>
    </row>
    <row r="4367" spans="3:3" x14ac:dyDescent="0.25">
      <c r="C4367" s="906"/>
    </row>
    <row r="4368" spans="3:3" x14ac:dyDescent="0.25">
      <c r="C4368" s="906"/>
    </row>
    <row r="4369" spans="3:3" x14ac:dyDescent="0.25">
      <c r="C4369" s="906"/>
    </row>
    <row r="4370" spans="3:3" x14ac:dyDescent="0.25">
      <c r="C4370" s="906"/>
    </row>
    <row r="4371" spans="3:3" x14ac:dyDescent="0.25">
      <c r="C4371" s="906"/>
    </row>
    <row r="4372" spans="3:3" x14ac:dyDescent="0.25">
      <c r="C4372" s="906"/>
    </row>
    <row r="4373" spans="3:3" x14ac:dyDescent="0.25">
      <c r="C4373" s="906"/>
    </row>
    <row r="4374" spans="3:3" x14ac:dyDescent="0.25">
      <c r="C4374" s="906"/>
    </row>
    <row r="4375" spans="3:3" x14ac:dyDescent="0.25">
      <c r="C4375" s="906"/>
    </row>
    <row r="4376" spans="3:3" x14ac:dyDescent="0.25">
      <c r="C4376" s="906"/>
    </row>
    <row r="4377" spans="3:3" x14ac:dyDescent="0.25">
      <c r="C4377" s="906"/>
    </row>
    <row r="4378" spans="3:3" x14ac:dyDescent="0.25">
      <c r="C4378" s="906"/>
    </row>
    <row r="4379" spans="3:3" x14ac:dyDescent="0.25">
      <c r="C4379" s="906"/>
    </row>
    <row r="4380" spans="3:3" x14ac:dyDescent="0.25">
      <c r="C4380" s="906"/>
    </row>
    <row r="4381" spans="3:3" x14ac:dyDescent="0.25">
      <c r="C4381" s="906"/>
    </row>
    <row r="4382" spans="3:3" x14ac:dyDescent="0.25">
      <c r="C4382" s="906"/>
    </row>
    <row r="4383" spans="3:3" x14ac:dyDescent="0.25">
      <c r="C4383" s="906"/>
    </row>
    <row r="4384" spans="3:3" x14ac:dyDescent="0.25">
      <c r="C4384" s="906"/>
    </row>
    <row r="4385" spans="3:3" x14ac:dyDescent="0.25">
      <c r="C4385" s="906"/>
    </row>
    <row r="4386" spans="3:3" x14ac:dyDescent="0.25">
      <c r="C4386" s="906"/>
    </row>
    <row r="4387" spans="3:3" x14ac:dyDescent="0.25">
      <c r="C4387" s="906"/>
    </row>
    <row r="4388" spans="3:3" x14ac:dyDescent="0.25">
      <c r="C4388" s="906"/>
    </row>
    <row r="4389" spans="3:3" x14ac:dyDescent="0.25">
      <c r="C4389" s="906"/>
    </row>
    <row r="4390" spans="3:3" x14ac:dyDescent="0.25">
      <c r="C4390" s="906"/>
    </row>
    <row r="4391" spans="3:3" x14ac:dyDescent="0.25">
      <c r="C4391" s="906"/>
    </row>
    <row r="4392" spans="3:3" x14ac:dyDescent="0.25">
      <c r="C4392" s="906"/>
    </row>
    <row r="4393" spans="3:3" x14ac:dyDescent="0.25">
      <c r="C4393" s="906"/>
    </row>
    <row r="4394" spans="3:3" x14ac:dyDescent="0.25">
      <c r="C4394" s="906"/>
    </row>
    <row r="4395" spans="3:3" x14ac:dyDescent="0.25">
      <c r="C4395" s="906"/>
    </row>
    <row r="4396" spans="3:3" x14ac:dyDescent="0.25">
      <c r="C4396" s="906"/>
    </row>
    <row r="4397" spans="3:3" x14ac:dyDescent="0.25">
      <c r="C4397" s="906"/>
    </row>
    <row r="4398" spans="3:3" x14ac:dyDescent="0.25">
      <c r="C4398" s="906"/>
    </row>
    <row r="4399" spans="3:3" x14ac:dyDescent="0.25">
      <c r="C4399" s="906"/>
    </row>
    <row r="4400" spans="3:3" x14ac:dyDescent="0.25">
      <c r="C4400" s="906"/>
    </row>
    <row r="4401" spans="3:3" x14ac:dyDescent="0.25">
      <c r="C4401" s="906"/>
    </row>
    <row r="4402" spans="3:3" x14ac:dyDescent="0.25">
      <c r="C4402" s="906"/>
    </row>
    <row r="4403" spans="3:3" x14ac:dyDescent="0.25">
      <c r="C4403" s="906"/>
    </row>
    <row r="4404" spans="3:3" x14ac:dyDescent="0.25">
      <c r="C4404" s="906"/>
    </row>
    <row r="4405" spans="3:3" x14ac:dyDescent="0.25">
      <c r="C4405" s="906"/>
    </row>
    <row r="4406" spans="3:3" x14ac:dyDescent="0.25">
      <c r="C4406" s="906"/>
    </row>
    <row r="4407" spans="3:3" x14ac:dyDescent="0.25">
      <c r="C4407" s="906"/>
    </row>
    <row r="4408" spans="3:3" x14ac:dyDescent="0.25">
      <c r="C4408" s="906"/>
    </row>
    <row r="4409" spans="3:3" x14ac:dyDescent="0.25">
      <c r="C4409" s="906"/>
    </row>
    <row r="4410" spans="3:3" x14ac:dyDescent="0.25">
      <c r="C4410" s="906"/>
    </row>
    <row r="4411" spans="3:3" x14ac:dyDescent="0.25">
      <c r="C4411" s="906"/>
    </row>
    <row r="4412" spans="3:3" x14ac:dyDescent="0.25">
      <c r="C4412" s="906"/>
    </row>
    <row r="4413" spans="3:3" x14ac:dyDescent="0.25">
      <c r="C4413" s="906"/>
    </row>
    <row r="4414" spans="3:3" x14ac:dyDescent="0.25">
      <c r="C4414" s="906"/>
    </row>
    <row r="4415" spans="3:3" x14ac:dyDescent="0.25">
      <c r="C4415" s="906"/>
    </row>
    <row r="4416" spans="3:3" x14ac:dyDescent="0.25">
      <c r="C4416" s="906"/>
    </row>
    <row r="4417" spans="3:3" x14ac:dyDescent="0.25">
      <c r="C4417" s="906"/>
    </row>
    <row r="4418" spans="3:3" x14ac:dyDescent="0.25">
      <c r="C4418" s="906"/>
    </row>
    <row r="4419" spans="3:3" x14ac:dyDescent="0.25">
      <c r="C4419" s="906"/>
    </row>
    <row r="4420" spans="3:3" x14ac:dyDescent="0.25">
      <c r="C4420" s="906"/>
    </row>
    <row r="4421" spans="3:3" x14ac:dyDescent="0.25">
      <c r="C4421" s="906"/>
    </row>
    <row r="4422" spans="3:3" x14ac:dyDescent="0.25">
      <c r="C4422" s="906"/>
    </row>
    <row r="4423" spans="3:3" x14ac:dyDescent="0.25">
      <c r="C4423" s="906"/>
    </row>
    <row r="4424" spans="3:3" x14ac:dyDescent="0.25">
      <c r="C4424" s="906"/>
    </row>
    <row r="4425" spans="3:3" x14ac:dyDescent="0.25">
      <c r="C4425" s="906"/>
    </row>
    <row r="4426" spans="3:3" x14ac:dyDescent="0.25">
      <c r="C4426" s="906"/>
    </row>
    <row r="4427" spans="3:3" x14ac:dyDescent="0.25">
      <c r="C4427" s="906"/>
    </row>
    <row r="4428" spans="3:3" x14ac:dyDescent="0.25">
      <c r="C4428" s="906"/>
    </row>
    <row r="4429" spans="3:3" x14ac:dyDescent="0.25">
      <c r="C4429" s="906"/>
    </row>
    <row r="4430" spans="3:3" x14ac:dyDescent="0.25">
      <c r="C4430" s="906"/>
    </row>
    <row r="4431" spans="3:3" x14ac:dyDescent="0.25">
      <c r="C4431" s="906"/>
    </row>
    <row r="4432" spans="3:3" x14ac:dyDescent="0.25">
      <c r="C4432" s="906"/>
    </row>
    <row r="4433" spans="3:3" x14ac:dyDescent="0.25">
      <c r="C4433" s="906"/>
    </row>
    <row r="4434" spans="3:3" x14ac:dyDescent="0.25">
      <c r="C4434" s="906"/>
    </row>
    <row r="4435" spans="3:3" x14ac:dyDescent="0.25">
      <c r="C4435" s="906"/>
    </row>
    <row r="4436" spans="3:3" x14ac:dyDescent="0.25">
      <c r="C4436" s="906"/>
    </row>
    <row r="4437" spans="3:3" x14ac:dyDescent="0.25">
      <c r="C4437" s="906"/>
    </row>
    <row r="4438" spans="3:3" x14ac:dyDescent="0.25">
      <c r="C4438" s="906"/>
    </row>
    <row r="4439" spans="3:3" x14ac:dyDescent="0.25">
      <c r="C4439" s="906"/>
    </row>
    <row r="4440" spans="3:3" x14ac:dyDescent="0.25">
      <c r="C4440" s="906"/>
    </row>
    <row r="4441" spans="3:3" x14ac:dyDescent="0.25">
      <c r="C4441" s="906"/>
    </row>
    <row r="4442" spans="3:3" x14ac:dyDescent="0.25">
      <c r="C4442" s="906"/>
    </row>
    <row r="4443" spans="3:3" x14ac:dyDescent="0.25">
      <c r="C4443" s="906"/>
    </row>
    <row r="4444" spans="3:3" x14ac:dyDescent="0.25">
      <c r="C4444" s="906"/>
    </row>
    <row r="4445" spans="3:3" x14ac:dyDescent="0.25">
      <c r="C4445" s="906"/>
    </row>
    <row r="4446" spans="3:3" x14ac:dyDescent="0.25">
      <c r="C4446" s="906"/>
    </row>
    <row r="4447" spans="3:3" x14ac:dyDescent="0.25">
      <c r="C4447" s="906"/>
    </row>
    <row r="4448" spans="3:3" x14ac:dyDescent="0.25">
      <c r="C4448" s="906"/>
    </row>
    <row r="4449" spans="3:3" x14ac:dyDescent="0.25">
      <c r="C4449" s="906"/>
    </row>
    <row r="4450" spans="3:3" x14ac:dyDescent="0.25">
      <c r="C4450" s="906"/>
    </row>
    <row r="4451" spans="3:3" x14ac:dyDescent="0.25">
      <c r="C4451" s="906"/>
    </row>
    <row r="4452" spans="3:3" x14ac:dyDescent="0.25">
      <c r="C4452" s="906"/>
    </row>
    <row r="4453" spans="3:3" x14ac:dyDescent="0.25">
      <c r="C4453" s="906"/>
    </row>
    <row r="4454" spans="3:3" x14ac:dyDescent="0.25">
      <c r="C4454" s="906"/>
    </row>
    <row r="4455" spans="3:3" x14ac:dyDescent="0.25">
      <c r="C4455" s="906"/>
    </row>
    <row r="4456" spans="3:3" x14ac:dyDescent="0.25">
      <c r="C4456" s="906"/>
    </row>
    <row r="4457" spans="3:3" x14ac:dyDescent="0.25">
      <c r="C4457" s="906"/>
    </row>
    <row r="4458" spans="3:3" x14ac:dyDescent="0.25">
      <c r="C4458" s="906"/>
    </row>
    <row r="4459" spans="3:3" x14ac:dyDescent="0.25">
      <c r="C4459" s="906"/>
    </row>
    <row r="4460" spans="3:3" x14ac:dyDescent="0.25">
      <c r="C4460" s="906"/>
    </row>
    <row r="4461" spans="3:3" x14ac:dyDescent="0.25">
      <c r="C4461" s="906"/>
    </row>
    <row r="4462" spans="3:3" x14ac:dyDescent="0.25">
      <c r="C4462" s="906"/>
    </row>
    <row r="4463" spans="3:3" x14ac:dyDescent="0.25">
      <c r="C4463" s="906"/>
    </row>
    <row r="4464" spans="3:3" x14ac:dyDescent="0.25">
      <c r="C4464" s="906"/>
    </row>
    <row r="4465" spans="3:3" x14ac:dyDescent="0.25">
      <c r="C4465" s="906"/>
    </row>
    <row r="4466" spans="3:3" x14ac:dyDescent="0.25">
      <c r="C4466" s="906"/>
    </row>
    <row r="4467" spans="3:3" x14ac:dyDescent="0.25">
      <c r="C4467" s="906"/>
    </row>
    <row r="4468" spans="3:3" x14ac:dyDescent="0.25">
      <c r="C4468" s="906"/>
    </row>
    <row r="4469" spans="3:3" x14ac:dyDescent="0.25">
      <c r="C4469" s="906"/>
    </row>
    <row r="4470" spans="3:3" x14ac:dyDescent="0.25">
      <c r="C4470" s="906"/>
    </row>
  </sheetData>
  <sheetProtection selectLockedCells="1"/>
  <mergeCells count="6">
    <mergeCell ref="C13:N13"/>
    <mergeCell ref="C23:N23"/>
    <mergeCell ref="O23:AA23"/>
    <mergeCell ref="AB23:AC23"/>
    <mergeCell ref="O13:AA13"/>
    <mergeCell ref="AB13:AC13"/>
  </mergeCells>
  <phoneticPr fontId="2" type="noConversion"/>
  <conditionalFormatting sqref="A25 A20:A22">
    <cfRule type="expression" dxfId="9" priority="1" stopIfTrue="1">
      <formula>#REF!=1</formula>
    </cfRule>
  </conditionalFormatting>
  <pageMargins left="0.39370078740157483" right="0.39370078740157483" top="0.59055118110236227" bottom="0.39370078740157483" header="0.39370078740157483" footer="0.51181102362204722"/>
  <pageSetup paperSize="9" scale="54" orientation="landscape" r:id="rId1"/>
  <customProperties>
    <customPr name="SSCSheetTrackingNo"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indexed="10"/>
  </sheetPr>
  <dimension ref="A1:AC751"/>
  <sheetViews>
    <sheetView zoomScale="115" zoomScaleNormal="115" workbookViewId="0">
      <selection activeCell="F17" sqref="F17"/>
    </sheetView>
  </sheetViews>
  <sheetFormatPr baseColWidth="10" defaultColWidth="12.5546875" defaultRowHeight="13.2" x14ac:dyDescent="0.2"/>
  <cols>
    <col min="1" max="1" width="47.88671875" style="390" customWidth="1"/>
    <col min="2" max="2" width="3.44140625" style="390" bestFit="1" customWidth="1"/>
    <col min="3" max="3" width="7.44140625" style="385" customWidth="1"/>
    <col min="4" max="4" width="14.88671875" style="385" customWidth="1"/>
    <col min="5" max="9" width="5.109375" style="385" customWidth="1"/>
    <col min="10" max="10" width="5" style="385" customWidth="1"/>
    <col min="11" max="11" width="4" style="385" bestFit="1" customWidth="1"/>
    <col min="12" max="12" width="4.109375" style="385" bestFit="1" customWidth="1"/>
    <col min="13" max="16" width="4.109375" style="385" customWidth="1"/>
    <col min="17" max="17" width="12.5546875" style="385"/>
    <col min="18" max="19" width="12.5546875" style="385" bestFit="1" customWidth="1"/>
    <col min="20" max="20" width="18.88671875" style="385" customWidth="1"/>
    <col min="21" max="22" width="12.5546875" style="385" bestFit="1" customWidth="1"/>
    <col min="23" max="25" width="13" style="674" customWidth="1"/>
    <col min="26" max="26" width="12.5546875" style="667" bestFit="1" customWidth="1"/>
    <col min="27" max="27" width="16.5546875" style="665" customWidth="1"/>
    <col min="28" max="28" width="9.88671875" style="665" customWidth="1"/>
    <col min="29" max="29" width="12.5546875" style="665"/>
    <col min="30" max="16384" width="12.5546875" style="385"/>
  </cols>
  <sheetData>
    <row r="1" spans="1:29" x14ac:dyDescent="0.2">
      <c r="R1" s="380" t="s">
        <v>1469</v>
      </c>
      <c r="T1" s="380" t="s">
        <v>1086</v>
      </c>
      <c r="U1" s="380" t="s">
        <v>1501</v>
      </c>
      <c r="V1" s="380" t="s">
        <v>1309</v>
      </c>
      <c r="W1" s="677" t="s">
        <v>1858</v>
      </c>
      <c r="X1" s="677" t="s">
        <v>1859</v>
      </c>
      <c r="Y1" s="677" t="s">
        <v>1860</v>
      </c>
      <c r="Z1" s="664" t="s">
        <v>1501</v>
      </c>
      <c r="AA1" s="665" t="s">
        <v>1861</v>
      </c>
      <c r="AB1" s="665" t="str">
        <f>U11</f>
        <v>22011001</v>
      </c>
      <c r="AC1" s="666">
        <f>AB1*1</f>
        <v>22011001</v>
      </c>
    </row>
    <row r="2" spans="1:29" s="380" customFormat="1" x14ac:dyDescent="0.25">
      <c r="A2" s="378" t="s">
        <v>1085</v>
      </c>
      <c r="B2" s="379">
        <f>Input!K9</f>
        <v>4</v>
      </c>
      <c r="C2" s="914">
        <f>IF(B2=5,553,B2*100+B9*10+C31)</f>
        <v>411</v>
      </c>
      <c r="D2" s="378" t="s">
        <v>1430</v>
      </c>
      <c r="E2" s="381"/>
      <c r="F2" s="381"/>
      <c r="G2" s="381"/>
      <c r="H2" s="381"/>
      <c r="I2" s="382"/>
      <c r="J2" s="382"/>
      <c r="K2" s="382"/>
      <c r="L2" s="382"/>
      <c r="M2" s="382"/>
      <c r="R2" s="409" t="s">
        <v>1470</v>
      </c>
      <c r="S2" s="409" t="s">
        <v>1471</v>
      </c>
      <c r="T2" s="385" t="str">
        <f>IF(B25=3,"AHV/",IF(B40=2,"360/","720/"))</f>
        <v>720/</v>
      </c>
      <c r="U2" s="644">
        <f>IF(B40=2,1,2)</f>
        <v>2</v>
      </c>
      <c r="V2" s="385">
        <f>U6</f>
        <v>1</v>
      </c>
      <c r="W2" s="678">
        <v>11001001</v>
      </c>
      <c r="X2" s="678">
        <v>11011001</v>
      </c>
      <c r="Y2" s="678">
        <v>11021001</v>
      </c>
      <c r="Z2" s="667">
        <v>11001001</v>
      </c>
      <c r="AA2" s="668" t="s">
        <v>1862</v>
      </c>
      <c r="AB2" s="668">
        <f>V17</f>
        <v>423</v>
      </c>
      <c r="AC2" s="669">
        <f>AB2*1</f>
        <v>423</v>
      </c>
    </row>
    <row r="3" spans="1:29" x14ac:dyDescent="0.2">
      <c r="A3" s="383" t="s">
        <v>1431</v>
      </c>
      <c r="B3" s="384">
        <v>1</v>
      </c>
      <c r="D3" s="386"/>
      <c r="E3" s="386">
        <v>1</v>
      </c>
      <c r="F3" s="386">
        <v>2</v>
      </c>
      <c r="G3" s="386">
        <v>3</v>
      </c>
      <c r="H3" s="386">
        <v>4</v>
      </c>
      <c r="I3" s="386">
        <v>5</v>
      </c>
      <c r="J3" s="386">
        <v>6</v>
      </c>
      <c r="K3" s="386">
        <v>7</v>
      </c>
      <c r="L3" s="386">
        <v>8</v>
      </c>
      <c r="M3" s="386">
        <v>9</v>
      </c>
      <c r="R3" s="380" t="s">
        <v>973</v>
      </c>
      <c r="T3" s="385" t="str">
        <f>IF(B25=1,"R1/",IF(B25=2,"R2/",""))</f>
        <v>R2/</v>
      </c>
      <c r="U3" s="644">
        <f>IF(B25=1,1,IF(B25=2,2,3))</f>
        <v>2</v>
      </c>
      <c r="V3" s="385">
        <f>U8</f>
        <v>0</v>
      </c>
      <c r="W3" s="678">
        <v>11001005</v>
      </c>
      <c r="X3" s="678">
        <v>11011005</v>
      </c>
      <c r="Y3" s="678">
        <v>11021005</v>
      </c>
      <c r="Z3" s="667">
        <v>11001005</v>
      </c>
      <c r="AA3" s="668" t="s">
        <v>1863</v>
      </c>
      <c r="AB3" s="665">
        <f>COUNTIF(W2:W25,AC1)</f>
        <v>0</v>
      </c>
    </row>
    <row r="4" spans="1:29" x14ac:dyDescent="0.2">
      <c r="A4" s="383" t="s">
        <v>1432</v>
      </c>
      <c r="B4" s="384">
        <v>2</v>
      </c>
      <c r="D4" s="387" t="s">
        <v>994</v>
      </c>
      <c r="E4" s="387">
        <v>7</v>
      </c>
      <c r="F4" s="387">
        <v>11</v>
      </c>
      <c r="G4" s="387">
        <v>16.5</v>
      </c>
      <c r="H4" s="387">
        <v>20</v>
      </c>
      <c r="I4" s="387">
        <v>21</v>
      </c>
      <c r="J4" s="387">
        <v>8</v>
      </c>
      <c r="K4" s="387">
        <v>9</v>
      </c>
      <c r="L4" s="387">
        <v>5</v>
      </c>
      <c r="M4" s="387">
        <v>6</v>
      </c>
      <c r="R4" s="385">
        <v>1</v>
      </c>
      <c r="S4" s="385">
        <v>3</v>
      </c>
      <c r="T4" s="644" t="str">
        <f>IF(T2="AHV","",IF(B44=1,"TK0/",IF(B44=6,"TK2/","TK1/")))</f>
        <v>TK0/</v>
      </c>
      <c r="U4" s="644">
        <f>IF(B44=1,0,IF(B44=6,2,1))</f>
        <v>0</v>
      </c>
      <c r="V4" s="385">
        <f>IF(AND(B25=1,B40=2),5,IF(AND(B25=1,B40=1),1,IF(AND(B25=2,B40=2),6,IF(AND(B25=2,B40=1),2,7))))</f>
        <v>2</v>
      </c>
      <c r="W4" s="679">
        <v>11101001</v>
      </c>
      <c r="X4" s="679">
        <v>11111001</v>
      </c>
      <c r="Y4" s="679"/>
      <c r="Z4" s="667">
        <v>11001101</v>
      </c>
      <c r="AA4" s="668" t="s">
        <v>1864</v>
      </c>
      <c r="AB4" s="665">
        <f>IF(AB3=0,AC1,VLOOKUP(AC1,W2:X25,2))</f>
        <v>22011001</v>
      </c>
      <c r="AC4" s="666">
        <f>AB4*1</f>
        <v>22011001</v>
      </c>
    </row>
    <row r="5" spans="1:29" x14ac:dyDescent="0.2">
      <c r="A5" s="383" t="s">
        <v>1433</v>
      </c>
      <c r="B5" s="384">
        <v>3</v>
      </c>
      <c r="D5" s="387" t="s">
        <v>995</v>
      </c>
      <c r="E5" s="387">
        <v>10</v>
      </c>
      <c r="F5" s="387">
        <v>12</v>
      </c>
      <c r="G5" s="387">
        <v>16.5</v>
      </c>
      <c r="H5" s="387">
        <v>20</v>
      </c>
      <c r="I5" s="387">
        <v>22</v>
      </c>
      <c r="J5" s="387">
        <v>11</v>
      </c>
      <c r="K5" s="387">
        <v>12</v>
      </c>
      <c r="L5" s="387">
        <v>7</v>
      </c>
      <c r="M5" s="387">
        <v>8</v>
      </c>
      <c r="R5" s="385">
        <v>2</v>
      </c>
      <c r="S5" s="385">
        <v>1</v>
      </c>
      <c r="T5" s="385" t="str">
        <f>IF(T2="AHV","",IF(B64=2,"Bb_BVG/","Bb_Plan/"))</f>
        <v>Bb_Plan/</v>
      </c>
      <c r="U5" s="644">
        <f>IF(B64=2,0,1)</f>
        <v>1</v>
      </c>
      <c r="V5" s="385" t="s">
        <v>1310</v>
      </c>
      <c r="W5" s="679">
        <v>11101005</v>
      </c>
      <c r="X5" s="679">
        <v>11111005</v>
      </c>
      <c r="Y5" s="679"/>
      <c r="Z5" s="667">
        <v>11001105</v>
      </c>
      <c r="AA5" s="668" t="s">
        <v>1865</v>
      </c>
      <c r="AB5" s="665">
        <f>IF(AC2&lt;&gt;111,1,0)</f>
        <v>1</v>
      </c>
    </row>
    <row r="6" spans="1:29" x14ac:dyDescent="0.2">
      <c r="A6" s="383" t="s">
        <v>1434</v>
      </c>
      <c r="B6" s="384">
        <v>4</v>
      </c>
      <c r="D6" s="387" t="s">
        <v>996</v>
      </c>
      <c r="E6" s="387">
        <v>15</v>
      </c>
      <c r="F6" s="387">
        <v>15</v>
      </c>
      <c r="G6" s="387">
        <v>16.5</v>
      </c>
      <c r="H6" s="387">
        <v>20</v>
      </c>
      <c r="I6" s="387">
        <v>23</v>
      </c>
      <c r="J6" s="387">
        <v>16</v>
      </c>
      <c r="K6" s="387">
        <v>17</v>
      </c>
      <c r="L6" s="387">
        <v>10</v>
      </c>
      <c r="M6" s="387">
        <v>11</v>
      </c>
      <c r="R6" s="385">
        <v>3</v>
      </c>
      <c r="S6" s="385">
        <v>2</v>
      </c>
      <c r="T6" s="385" t="str">
        <f>IF(T2="AHV","",CONCATENATE(VLOOKUP(Input!K25,Input!L25:S33,8),"/"))</f>
        <v>A1/</v>
      </c>
      <c r="U6" s="644">
        <f>B9</f>
        <v>1</v>
      </c>
      <c r="W6" s="679">
        <v>11201001</v>
      </c>
      <c r="X6" s="679">
        <v>11211001</v>
      </c>
      <c r="Y6" s="679"/>
      <c r="Z6" s="667">
        <v>11001201</v>
      </c>
      <c r="AA6" s="668" t="s">
        <v>1866</v>
      </c>
      <c r="AB6" s="665">
        <f>COUNTIF(X27:X30,AC1)</f>
        <v>0</v>
      </c>
      <c r="AC6" s="665">
        <f>IF(AND(AB5=1,AB6=1),AC4,0)</f>
        <v>0</v>
      </c>
    </row>
    <row r="7" spans="1:29" x14ac:dyDescent="0.2">
      <c r="A7" s="388" t="s">
        <v>892</v>
      </c>
      <c r="B7" s="389">
        <v>5</v>
      </c>
      <c r="D7" s="387" t="s">
        <v>1435</v>
      </c>
      <c r="E7" s="387">
        <v>18</v>
      </c>
      <c r="F7" s="387">
        <v>18</v>
      </c>
      <c r="G7" s="387">
        <v>18</v>
      </c>
      <c r="H7" s="387">
        <v>20</v>
      </c>
      <c r="I7" s="387">
        <v>25</v>
      </c>
      <c r="J7" s="387">
        <v>19</v>
      </c>
      <c r="K7" s="387">
        <v>20</v>
      </c>
      <c r="L7" s="387">
        <v>12</v>
      </c>
      <c r="M7" s="387">
        <v>13</v>
      </c>
      <c r="T7" s="385" t="str">
        <f>CONCATENATE(Input!K32,"/")</f>
        <v>25/</v>
      </c>
      <c r="U7" s="644"/>
      <c r="W7" s="679">
        <v>11201005</v>
      </c>
      <c r="X7" s="679">
        <v>11211005</v>
      </c>
      <c r="Y7" s="679"/>
      <c r="Z7" s="667">
        <v>11001205</v>
      </c>
      <c r="AA7" s="668" t="s">
        <v>1867</v>
      </c>
      <c r="AB7" s="665">
        <f>COUNTIF(X27:X30,AC4)</f>
        <v>0</v>
      </c>
      <c r="AC7" s="665">
        <f>IF(AND(AB5=1,AB7=1),VLOOKUP(AC4,X27:Y30,2),0)</f>
        <v>0</v>
      </c>
    </row>
    <row r="8" spans="1:29" s="380" customFormat="1" x14ac:dyDescent="0.2">
      <c r="A8" s="390"/>
      <c r="B8" s="390"/>
      <c r="D8" s="387" t="s">
        <v>1437</v>
      </c>
      <c r="E8" s="387">
        <v>18</v>
      </c>
      <c r="F8" s="387">
        <v>18</v>
      </c>
      <c r="G8" s="387">
        <v>18</v>
      </c>
      <c r="H8" s="387">
        <v>20</v>
      </c>
      <c r="I8" s="387">
        <v>25</v>
      </c>
      <c r="J8" s="387">
        <v>19</v>
      </c>
      <c r="K8" s="387">
        <v>20</v>
      </c>
      <c r="L8" s="387">
        <v>12</v>
      </c>
      <c r="M8" s="387">
        <v>13</v>
      </c>
      <c r="R8" s="380" t="s">
        <v>985</v>
      </c>
      <c r="T8" s="385" t="str">
        <f>IF(Input!K36=1,"ZS0",IF(Input!K36=2,"ZS1","ZS2"))</f>
        <v>ZS0</v>
      </c>
      <c r="U8" s="644">
        <f>IF(B20=3,0,IF(B20=1,1,2))</f>
        <v>0</v>
      </c>
      <c r="V8" s="385"/>
      <c r="W8" s="679">
        <v>12001001</v>
      </c>
      <c r="X8" s="679">
        <v>12011001</v>
      </c>
      <c r="Y8" s="679"/>
      <c r="Z8" s="667">
        <v>11002001</v>
      </c>
      <c r="AA8" s="670">
        <f>IF(AC7&lt;&gt;0,AC7,IF(AC6&lt;&gt;0,AC6,AC4))</f>
        <v>22011001</v>
      </c>
      <c r="AB8" s="665"/>
      <c r="AC8" s="665"/>
    </row>
    <row r="9" spans="1:29" x14ac:dyDescent="0.25">
      <c r="A9" s="391" t="s">
        <v>1436</v>
      </c>
      <c r="B9" s="379">
        <f>Input!K25</f>
        <v>1</v>
      </c>
      <c r="C9" s="914">
        <f>B9*100+C20</f>
        <v>100</v>
      </c>
      <c r="D9" s="380"/>
      <c r="E9" s="380"/>
      <c r="F9" s="380"/>
      <c r="G9" s="380"/>
      <c r="H9" s="380"/>
      <c r="I9" s="380"/>
      <c r="R9" s="385">
        <v>1</v>
      </c>
      <c r="S9" s="385">
        <v>1</v>
      </c>
      <c r="T9" s="644"/>
      <c r="U9" s="644">
        <v>0</v>
      </c>
      <c r="W9" s="679">
        <v>12001005</v>
      </c>
      <c r="X9" s="679">
        <v>12011005</v>
      </c>
      <c r="Y9" s="679"/>
      <c r="Z9" s="667">
        <v>11002005</v>
      </c>
      <c r="AA9" s="668" t="s">
        <v>1868</v>
      </c>
      <c r="AB9" s="665">
        <f>IF(Input!L2&gt;5,1,0)</f>
        <v>0</v>
      </c>
    </row>
    <row r="10" spans="1:29" x14ac:dyDescent="0.2">
      <c r="A10" s="383" t="s">
        <v>1438</v>
      </c>
      <c r="B10" s="384">
        <v>1</v>
      </c>
      <c r="R10" s="385">
        <v>2</v>
      </c>
      <c r="S10" s="385">
        <v>2</v>
      </c>
      <c r="U10" s="644">
        <f>IF(B58=3,5,IF(B58=4,6,1))</f>
        <v>1</v>
      </c>
      <c r="V10" s="380" t="str">
        <f>CONCATENATE(V2,V3,V4,V5)</f>
        <v>102_</v>
      </c>
      <c r="W10" s="679">
        <v>12101001</v>
      </c>
      <c r="X10" s="679">
        <v>12111001</v>
      </c>
      <c r="Y10" s="679"/>
      <c r="Z10" s="667">
        <v>11002101</v>
      </c>
      <c r="AA10" s="668">
        <f>AA8/10000</f>
        <v>2201.1001000000001</v>
      </c>
    </row>
    <row r="11" spans="1:29" ht="13.8" thickBot="1" x14ac:dyDescent="0.3">
      <c r="A11" s="383" t="s">
        <v>1439</v>
      </c>
      <c r="B11" s="384">
        <v>2</v>
      </c>
      <c r="D11" s="378" t="s">
        <v>977</v>
      </c>
      <c r="E11" s="392">
        <v>720</v>
      </c>
      <c r="F11" s="392"/>
      <c r="G11" s="392">
        <v>360</v>
      </c>
      <c r="H11" s="393">
        <v>0.5</v>
      </c>
      <c r="I11" s="382" t="s">
        <v>1441</v>
      </c>
      <c r="R11" s="385">
        <v>3</v>
      </c>
      <c r="S11" s="385">
        <v>2</v>
      </c>
      <c r="T11" s="380" t="str">
        <f>CONCATENATE(T2,T3,T4,T5,T6,T7,T8,T9)</f>
        <v>720/R2/TK0/Bb_Plan/A1/25/ZS0</v>
      </c>
      <c r="U11" s="647" t="str">
        <f>CONCATENATE(U2,U3,U4,U5,U6,U8,U9,U10)</f>
        <v>22011001</v>
      </c>
      <c r="W11" s="679">
        <v>12101005</v>
      </c>
      <c r="X11" s="679">
        <v>12111005</v>
      </c>
      <c r="Y11" s="679"/>
      <c r="Z11" s="667">
        <v>11002105</v>
      </c>
      <c r="AA11" s="668">
        <f>AA10-INT(AA10)</f>
        <v>0.10010000000011132</v>
      </c>
    </row>
    <row r="12" spans="1:29" ht="13.8" thickBot="1" x14ac:dyDescent="0.25">
      <c r="A12" s="383" t="s">
        <v>1440</v>
      </c>
      <c r="B12" s="384">
        <v>3</v>
      </c>
      <c r="D12" s="386"/>
      <c r="E12" s="386">
        <v>1</v>
      </c>
      <c r="F12" s="386">
        <v>2</v>
      </c>
      <c r="G12" s="386">
        <v>1</v>
      </c>
      <c r="H12" s="386">
        <v>2</v>
      </c>
      <c r="I12" s="386">
        <v>2</v>
      </c>
      <c r="R12" s="385">
        <v>4</v>
      </c>
      <c r="S12" s="385">
        <v>2</v>
      </c>
      <c r="U12" s="682">
        <f>AA14</f>
        <v>22011001</v>
      </c>
      <c r="W12" s="679">
        <v>12201001</v>
      </c>
      <c r="X12" s="679">
        <v>12211001</v>
      </c>
      <c r="Y12" s="679"/>
      <c r="Z12" s="667">
        <v>11002201</v>
      </c>
      <c r="AA12" s="668">
        <f>AA11+5000</f>
        <v>5000.1000999999997</v>
      </c>
    </row>
    <row r="13" spans="1:29" ht="13.8" thickBot="1" x14ac:dyDescent="0.25">
      <c r="A13" s="383" t="s">
        <v>1442</v>
      </c>
      <c r="B13" s="384">
        <v>4</v>
      </c>
      <c r="D13" s="387" t="s">
        <v>993</v>
      </c>
      <c r="E13" s="986">
        <v>0.28000000000000003</v>
      </c>
      <c r="F13" s="986">
        <v>0.1</v>
      </c>
      <c r="G13" s="986">
        <v>0.32</v>
      </c>
      <c r="H13" s="986">
        <v>0.12</v>
      </c>
      <c r="I13" s="986">
        <v>0.04</v>
      </c>
      <c r="R13" s="385">
        <v>5</v>
      </c>
      <c r="S13" s="385">
        <v>2</v>
      </c>
      <c r="W13" s="679">
        <v>12201005</v>
      </c>
      <c r="X13" s="679">
        <v>12211005</v>
      </c>
      <c r="Y13" s="679"/>
      <c r="Z13" s="667">
        <v>11002205</v>
      </c>
      <c r="AA13" s="668">
        <f>AA12*10000</f>
        <v>50001001</v>
      </c>
    </row>
    <row r="14" spans="1:29" ht="13.8" thickBot="1" x14ac:dyDescent="0.25">
      <c r="A14" s="383" t="s">
        <v>1443</v>
      </c>
      <c r="B14" s="384">
        <v>5</v>
      </c>
      <c r="D14" s="387" t="s">
        <v>994</v>
      </c>
      <c r="E14" s="986">
        <v>0.52</v>
      </c>
      <c r="F14" s="986">
        <v>0.16</v>
      </c>
      <c r="G14" s="986">
        <v>0.57999999999999996</v>
      </c>
      <c r="H14" s="986">
        <v>0.18</v>
      </c>
      <c r="I14" s="986">
        <v>0.04</v>
      </c>
      <c r="R14" s="385">
        <v>6</v>
      </c>
      <c r="S14" s="385">
        <v>2</v>
      </c>
      <c r="T14" s="380" t="s">
        <v>1080</v>
      </c>
      <c r="V14" s="385">
        <f>Input!K9</f>
        <v>4</v>
      </c>
      <c r="W14" s="678">
        <v>21001001</v>
      </c>
      <c r="X14" s="678">
        <v>21011001</v>
      </c>
      <c r="Y14" s="678">
        <v>21021001</v>
      </c>
      <c r="Z14" s="667">
        <v>11003001</v>
      </c>
      <c r="AA14" s="681">
        <f>IF(AB9=1,AA13,AA8)</f>
        <v>22011001</v>
      </c>
    </row>
    <row r="15" spans="1:29" s="380" customFormat="1" x14ac:dyDescent="0.2">
      <c r="A15" s="383" t="s">
        <v>2177</v>
      </c>
      <c r="B15" s="384">
        <v>6</v>
      </c>
      <c r="C15" s="385"/>
      <c r="D15" s="387" t="s">
        <v>995</v>
      </c>
      <c r="E15" s="986">
        <v>0.64</v>
      </c>
      <c r="F15" s="986">
        <v>0.2</v>
      </c>
      <c r="G15" s="986">
        <v>0.7</v>
      </c>
      <c r="H15" s="986">
        <v>0.22</v>
      </c>
      <c r="I15" s="986">
        <v>0.04</v>
      </c>
      <c r="J15" s="385"/>
      <c r="R15" s="385">
        <v>7</v>
      </c>
      <c r="S15" s="385">
        <v>2</v>
      </c>
      <c r="T15" s="385" t="s">
        <v>1797</v>
      </c>
      <c r="U15" s="385" t="str">
        <f>VLOOKUP(Input!K9,Input!L9:N13,3)</f>
        <v>L4</v>
      </c>
      <c r="V15" s="385">
        <f>IF(Input!K15=3,3,IF(U16="BVG",1,IF(U16="keine",2,5)))</f>
        <v>2</v>
      </c>
      <c r="W15" s="678">
        <v>21001005</v>
      </c>
      <c r="X15" s="678">
        <v>21011005</v>
      </c>
      <c r="Y15" s="678">
        <v>21021005</v>
      </c>
      <c r="Z15" s="667">
        <v>11003005</v>
      </c>
      <c r="AA15" s="671"/>
      <c r="AB15" s="665"/>
      <c r="AC15" s="665"/>
    </row>
    <row r="16" spans="1:29" x14ac:dyDescent="0.2">
      <c r="A16" s="383" t="s">
        <v>2178</v>
      </c>
      <c r="B16" s="384">
        <v>7</v>
      </c>
      <c r="D16" s="387" t="s">
        <v>996</v>
      </c>
      <c r="E16" s="986">
        <v>0.72</v>
      </c>
      <c r="F16" s="986">
        <v>0.26</v>
      </c>
      <c r="G16" s="986">
        <v>0.8</v>
      </c>
      <c r="H16" s="986">
        <v>0.3</v>
      </c>
      <c r="I16" s="986">
        <v>0.12</v>
      </c>
      <c r="L16" s="385">
        <f>F16*3.5</f>
        <v>0.91</v>
      </c>
      <c r="R16" s="385">
        <v>8</v>
      </c>
      <c r="S16" s="385">
        <v>2</v>
      </c>
      <c r="T16" s="385" t="s">
        <v>1798</v>
      </c>
      <c r="U16" s="385" t="str">
        <f>IF(Input!K9=5,"fix",VLOOKUP(Input!K15,Input!L15:N17,3))</f>
        <v>keine</v>
      </c>
      <c r="V16" s="385">
        <f>IF(U17="BVG",1,IF(U17="UVG",2,IF(U17="SIFO",4,IF(U17="AHVmax",5,IF(U17="SIFO-KA",6,IF(U17="200%UVG",7,3))))))</f>
        <v>3</v>
      </c>
      <c r="W16" s="679">
        <v>21101001</v>
      </c>
      <c r="X16" s="679">
        <v>21111001</v>
      </c>
      <c r="Y16" s="679"/>
      <c r="Z16" s="667">
        <v>11003101</v>
      </c>
      <c r="AA16" s="671"/>
    </row>
    <row r="17" spans="1:29" x14ac:dyDescent="0.2">
      <c r="A17" s="383" t="s">
        <v>2179</v>
      </c>
      <c r="B17" s="384">
        <v>8</v>
      </c>
      <c r="D17" s="387" t="s">
        <v>1435</v>
      </c>
      <c r="E17" s="986">
        <v>0.62</v>
      </c>
      <c r="F17" s="986">
        <v>0.18</v>
      </c>
      <c r="G17" s="986">
        <v>0.7</v>
      </c>
      <c r="H17" s="986">
        <v>0.2</v>
      </c>
      <c r="I17" s="986">
        <v>0.24</v>
      </c>
      <c r="R17" s="385">
        <v>9</v>
      </c>
      <c r="S17" s="385">
        <v>2</v>
      </c>
      <c r="T17" s="385" t="s">
        <v>1133</v>
      </c>
      <c r="U17" s="385" t="str">
        <f>IF(Input!K9=5,"ohne",VLOOKUP(Input!K18,Input!L18:N24,3))</f>
        <v>keine</v>
      </c>
      <c r="V17" s="380">
        <f>V14*100+V15*10+V16</f>
        <v>423</v>
      </c>
      <c r="W17" s="679">
        <v>21101005</v>
      </c>
      <c r="X17" s="679">
        <v>21111005</v>
      </c>
      <c r="Y17" s="679"/>
      <c r="Z17" s="667">
        <v>11003105</v>
      </c>
      <c r="AA17" s="671"/>
    </row>
    <row r="18" spans="1:29" x14ac:dyDescent="0.2">
      <c r="A18" s="388" t="s">
        <v>2180</v>
      </c>
      <c r="B18" s="389">
        <v>9</v>
      </c>
      <c r="D18" s="387" t="s">
        <v>1437</v>
      </c>
      <c r="E18" s="986">
        <v>0</v>
      </c>
      <c r="F18" s="986">
        <v>0</v>
      </c>
      <c r="G18" s="986">
        <v>0</v>
      </c>
      <c r="H18" s="986">
        <v>0</v>
      </c>
      <c r="I18" s="986">
        <v>0</v>
      </c>
      <c r="R18" s="385">
        <v>10</v>
      </c>
      <c r="S18" s="385">
        <v>2</v>
      </c>
      <c r="U18" s="385" t="str">
        <f>CONCATENATE(U15,"_",U16,"_",U17)</f>
        <v>L4_keine_keine</v>
      </c>
      <c r="W18" s="679">
        <v>21201001</v>
      </c>
      <c r="X18" s="679">
        <v>21211001</v>
      </c>
      <c r="Y18" s="679"/>
      <c r="Z18" s="667">
        <v>11003201</v>
      </c>
      <c r="AA18" s="671"/>
    </row>
    <row r="19" spans="1:29" x14ac:dyDescent="0.2">
      <c r="C19" s="380"/>
      <c r="D19" s="904"/>
      <c r="E19" s="913"/>
      <c r="F19" s="913"/>
      <c r="G19" s="913"/>
      <c r="H19" s="396"/>
      <c r="I19" s="396"/>
      <c r="R19" s="385">
        <v>11</v>
      </c>
      <c r="S19" s="385">
        <v>2</v>
      </c>
      <c r="W19" s="679">
        <v>21201005</v>
      </c>
      <c r="X19" s="679">
        <v>21211005</v>
      </c>
      <c r="Y19" s="679"/>
      <c r="Z19" s="667">
        <v>11003205</v>
      </c>
      <c r="AA19" s="671"/>
    </row>
    <row r="20" spans="1:29" x14ac:dyDescent="0.25">
      <c r="A20" s="391" t="s">
        <v>973</v>
      </c>
      <c r="B20" s="379">
        <f>VLOOKUP(Input!K36,R4:S6,2)</f>
        <v>3</v>
      </c>
      <c r="C20" s="914">
        <f>IF(B20=3,0,B20)</f>
        <v>0</v>
      </c>
      <c r="R20" s="385">
        <v>12</v>
      </c>
      <c r="S20" s="385">
        <v>2</v>
      </c>
      <c r="T20" s="380" t="s">
        <v>1795</v>
      </c>
      <c r="U20" s="385" t="str">
        <f>VLOOKUP(Input!K37,Input!L37:S50,8)</f>
        <v>40</v>
      </c>
      <c r="W20" s="679">
        <v>22001001</v>
      </c>
      <c r="X20" s="679">
        <v>22011001</v>
      </c>
      <c r="Y20" s="679"/>
      <c r="Z20" s="667">
        <v>11004001</v>
      </c>
      <c r="AA20" s="671"/>
    </row>
    <row r="21" spans="1:29" s="380" customFormat="1" x14ac:dyDescent="0.2">
      <c r="A21" s="383" t="s">
        <v>1444</v>
      </c>
      <c r="B21" s="905">
        <v>1</v>
      </c>
      <c r="C21" s="385"/>
      <c r="D21" s="385"/>
      <c r="E21" s="385"/>
      <c r="F21" s="385"/>
      <c r="G21" s="385"/>
      <c r="H21" s="385"/>
      <c r="I21" s="385"/>
      <c r="R21" s="385">
        <v>13</v>
      </c>
      <c r="S21" s="385">
        <v>2</v>
      </c>
      <c r="T21" s="380" t="s">
        <v>978</v>
      </c>
      <c r="U21" s="385" t="str">
        <f>VLOOKUP(Input!K53,Input!L53:S58,8)</f>
        <v>0</v>
      </c>
      <c r="W21" s="679">
        <v>22001005</v>
      </c>
      <c r="X21" s="679">
        <v>22011005</v>
      </c>
      <c r="Y21" s="679"/>
      <c r="Z21" s="667">
        <v>11004005</v>
      </c>
      <c r="AA21" s="671"/>
      <c r="AB21" s="665"/>
      <c r="AC21" s="665"/>
    </row>
    <row r="22" spans="1:29" x14ac:dyDescent="0.25">
      <c r="A22" s="388" t="s">
        <v>1445</v>
      </c>
      <c r="B22" s="580">
        <v>2</v>
      </c>
      <c r="D22" s="378" t="s">
        <v>973</v>
      </c>
      <c r="E22" s="381"/>
      <c r="F22" s="381"/>
      <c r="G22" s="381"/>
      <c r="H22" s="381"/>
      <c r="I22" s="382"/>
      <c r="R22" s="385">
        <v>14</v>
      </c>
      <c r="S22" s="385">
        <v>2</v>
      </c>
      <c r="W22" s="679">
        <v>22101001</v>
      </c>
      <c r="X22" s="679">
        <v>22111001</v>
      </c>
      <c r="Y22" s="679"/>
      <c r="Z22" s="667">
        <v>11004101</v>
      </c>
      <c r="AA22" s="671"/>
    </row>
    <row r="23" spans="1:29" x14ac:dyDescent="0.2">
      <c r="A23" s="394" t="s">
        <v>1130</v>
      </c>
      <c r="B23" s="905">
        <v>3</v>
      </c>
      <c r="C23" s="901" t="s">
        <v>309</v>
      </c>
      <c r="D23" s="386"/>
      <c r="E23" s="386">
        <v>1</v>
      </c>
      <c r="F23" s="386">
        <v>2</v>
      </c>
      <c r="G23" s="386">
        <v>3</v>
      </c>
      <c r="H23" s="386"/>
      <c r="I23" s="386"/>
      <c r="J23" s="901" t="s">
        <v>252</v>
      </c>
      <c r="K23" s="902"/>
      <c r="L23" s="902"/>
      <c r="M23" s="902"/>
      <c r="N23" s="902"/>
      <c r="O23" s="902"/>
      <c r="P23" s="902"/>
      <c r="Q23" s="644"/>
      <c r="T23" s="380" t="s">
        <v>1257</v>
      </c>
      <c r="W23" s="679">
        <v>22101005</v>
      </c>
      <c r="X23" s="679">
        <v>22111005</v>
      </c>
      <c r="Y23" s="679"/>
      <c r="Z23" s="667">
        <v>11004105</v>
      </c>
      <c r="AA23" s="671"/>
    </row>
    <row r="24" spans="1:29" x14ac:dyDescent="0.2">
      <c r="D24" s="387" t="s">
        <v>994</v>
      </c>
      <c r="E24" s="387">
        <v>2</v>
      </c>
      <c r="F24" s="387">
        <v>4</v>
      </c>
      <c r="G24" s="387">
        <v>0</v>
      </c>
      <c r="H24" s="387"/>
      <c r="I24" s="387"/>
      <c r="J24" s="901" t="s">
        <v>310</v>
      </c>
      <c r="K24" s="902"/>
      <c r="L24" s="902"/>
      <c r="M24" s="902"/>
      <c r="N24" s="902"/>
      <c r="O24" s="902"/>
      <c r="P24" s="902"/>
      <c r="Q24" s="644"/>
      <c r="R24" s="380" t="s">
        <v>1097</v>
      </c>
      <c r="T24" s="385" t="str">
        <f>LEFT(T2,U24-1)</f>
        <v>720</v>
      </c>
      <c r="U24" s="385">
        <f>LEN(T2)</f>
        <v>4</v>
      </c>
      <c r="W24" s="679">
        <v>22201001</v>
      </c>
      <c r="X24" s="679">
        <v>22211001</v>
      </c>
      <c r="Y24" s="679"/>
      <c r="Z24" s="667">
        <v>11004201</v>
      </c>
      <c r="AA24" s="671"/>
    </row>
    <row r="25" spans="1:29" x14ac:dyDescent="0.25">
      <c r="A25" s="391" t="s">
        <v>985</v>
      </c>
      <c r="B25" s="379">
        <f>IF(C28=1,3,VLOOKUP(Input!K37,R9:S22,2))</f>
        <v>2</v>
      </c>
      <c r="C25" s="380"/>
      <c r="D25" s="387" t="s">
        <v>995</v>
      </c>
      <c r="E25" s="387">
        <v>2</v>
      </c>
      <c r="F25" s="387">
        <v>3</v>
      </c>
      <c r="G25" s="387">
        <v>0</v>
      </c>
      <c r="H25" s="387"/>
      <c r="I25" s="387"/>
      <c r="Q25" s="644"/>
      <c r="R25" s="385">
        <v>1</v>
      </c>
      <c r="S25" s="385">
        <v>2</v>
      </c>
      <c r="T25" s="385" t="str">
        <f>LEFT(T3,U25-1)</f>
        <v>R2</v>
      </c>
      <c r="U25" s="385">
        <f>LEN(T3)</f>
        <v>3</v>
      </c>
      <c r="W25" s="679">
        <v>22201005</v>
      </c>
      <c r="X25" s="679">
        <v>22211005</v>
      </c>
      <c r="Y25" s="679"/>
      <c r="Z25" s="667">
        <v>11004205</v>
      </c>
      <c r="AA25" s="671"/>
    </row>
    <row r="26" spans="1:29" x14ac:dyDescent="0.2">
      <c r="A26" s="394" t="s">
        <v>1446</v>
      </c>
      <c r="B26" s="384">
        <v>1</v>
      </c>
      <c r="D26" s="387" t="s">
        <v>996</v>
      </c>
      <c r="E26" s="387">
        <v>2</v>
      </c>
      <c r="F26" s="387">
        <v>2</v>
      </c>
      <c r="G26" s="387">
        <v>0</v>
      </c>
      <c r="H26" s="387"/>
      <c r="I26" s="387"/>
      <c r="Q26" s="644"/>
      <c r="R26" s="385">
        <v>2</v>
      </c>
      <c r="S26" s="385">
        <v>1</v>
      </c>
      <c r="T26" s="385" t="str">
        <f>LEFT(T4,U26-1)</f>
        <v>TK0</v>
      </c>
      <c r="U26" s="385">
        <f>LEN(T4)</f>
        <v>4</v>
      </c>
      <c r="W26" s="680"/>
      <c r="X26" s="680"/>
      <c r="Y26" s="680"/>
      <c r="Z26" s="667">
        <v>11005001</v>
      </c>
      <c r="AA26" s="671"/>
    </row>
    <row r="27" spans="1:29" s="380" customFormat="1" x14ac:dyDescent="0.2">
      <c r="A27" s="383" t="s">
        <v>1447</v>
      </c>
      <c r="B27" s="384">
        <v>2</v>
      </c>
      <c r="C27" s="385"/>
      <c r="D27" s="387" t="s">
        <v>1435</v>
      </c>
      <c r="E27" s="387">
        <v>0</v>
      </c>
      <c r="F27" s="387">
        <v>0</v>
      </c>
      <c r="G27" s="387">
        <v>0</v>
      </c>
      <c r="H27" s="387"/>
      <c r="I27" s="387"/>
      <c r="Q27" s="912"/>
      <c r="T27" s="385" t="str">
        <f>LEFT(T5,U27-1)</f>
        <v>Bb_Plan</v>
      </c>
      <c r="U27" s="385">
        <f>LEN(T5)</f>
        <v>8</v>
      </c>
      <c r="W27" s="675"/>
      <c r="X27" s="676">
        <v>11011001</v>
      </c>
      <c r="Y27" s="676">
        <v>11021001</v>
      </c>
      <c r="Z27" s="667">
        <v>11005005</v>
      </c>
      <c r="AA27" s="671"/>
      <c r="AB27" s="665"/>
      <c r="AC27" s="665"/>
    </row>
    <row r="28" spans="1:29" x14ac:dyDescent="0.2">
      <c r="A28" s="579" t="s">
        <v>1448</v>
      </c>
      <c r="B28" s="580">
        <v>3</v>
      </c>
      <c r="C28" s="578" t="str">
        <f>IF(OR(AND(Input!K3=1,Input!K2&gt;65),AND(Input!K3=2,Input!K2&gt;64)),1,"")</f>
        <v/>
      </c>
      <c r="D28" s="387" t="s">
        <v>1437</v>
      </c>
      <c r="E28" s="387">
        <v>0</v>
      </c>
      <c r="F28" s="387">
        <v>0</v>
      </c>
      <c r="G28" s="387">
        <v>0</v>
      </c>
      <c r="H28" s="387"/>
      <c r="I28" s="387"/>
      <c r="Q28" s="644"/>
      <c r="R28" s="380" t="s">
        <v>1458</v>
      </c>
      <c r="T28" s="385" t="str">
        <f>LEFT(T6,U28-1)</f>
        <v>A1</v>
      </c>
      <c r="U28" s="385">
        <f>LEN(T6)</f>
        <v>3</v>
      </c>
      <c r="W28" s="675"/>
      <c r="X28" s="676">
        <v>11011005</v>
      </c>
      <c r="Y28" s="676">
        <v>11021005</v>
      </c>
      <c r="Z28" s="667">
        <v>11005101</v>
      </c>
      <c r="AA28" s="671"/>
    </row>
    <row r="29" spans="1:29" x14ac:dyDescent="0.2">
      <c r="Q29" s="644"/>
      <c r="R29" s="385">
        <v>1</v>
      </c>
      <c r="S29" s="385">
        <v>1</v>
      </c>
      <c r="T29" s="399">
        <f>Input!K32</f>
        <v>25</v>
      </c>
      <c r="W29" s="675"/>
      <c r="X29" s="676">
        <v>21011001</v>
      </c>
      <c r="Y29" s="676">
        <v>21021001</v>
      </c>
      <c r="Z29" s="667">
        <v>11005105</v>
      </c>
      <c r="AA29" s="671"/>
    </row>
    <row r="30" spans="1:29" x14ac:dyDescent="0.2">
      <c r="Q30" s="644"/>
      <c r="R30" s="385">
        <v>2</v>
      </c>
      <c r="S30" s="385">
        <v>2</v>
      </c>
      <c r="T30" s="385" t="str">
        <f>T8</f>
        <v>ZS0</v>
      </c>
      <c r="W30" s="675"/>
      <c r="X30" s="676">
        <v>21011005</v>
      </c>
      <c r="Y30" s="676">
        <v>21021005</v>
      </c>
      <c r="Z30" s="667">
        <v>11005201</v>
      </c>
      <c r="AA30" s="671"/>
    </row>
    <row r="31" spans="1:29" x14ac:dyDescent="0.25">
      <c r="A31" s="391" t="s">
        <v>1449</v>
      </c>
      <c r="B31" s="379">
        <f>Input!$K$18</f>
        <v>3</v>
      </c>
      <c r="C31" s="914">
        <f>IF(B31=3,1,IF(B31=1,3,2))</f>
        <v>1</v>
      </c>
      <c r="D31" s="378" t="s">
        <v>982</v>
      </c>
      <c r="E31" s="392"/>
      <c r="F31" s="392"/>
      <c r="G31" s="392"/>
      <c r="H31" s="392"/>
      <c r="I31" s="382"/>
      <c r="J31" s="382"/>
      <c r="K31" s="382"/>
      <c r="L31" s="382"/>
      <c r="M31" s="382"/>
      <c r="N31" s="397" t="s">
        <v>972</v>
      </c>
      <c r="O31" s="382"/>
      <c r="Q31" s="644"/>
      <c r="R31" s="385">
        <v>3</v>
      </c>
      <c r="S31" s="385">
        <v>3</v>
      </c>
      <c r="W31" s="673"/>
      <c r="Z31" s="667">
        <v>11005205</v>
      </c>
      <c r="AA31" s="671"/>
    </row>
    <row r="32" spans="1:29" s="380" customFormat="1" x14ac:dyDescent="0.2">
      <c r="A32" s="383" t="s">
        <v>1451</v>
      </c>
      <c r="B32" s="384">
        <v>1</v>
      </c>
      <c r="C32" s="385"/>
      <c r="D32" s="386"/>
      <c r="E32" s="386">
        <v>1</v>
      </c>
      <c r="F32" s="386">
        <v>2</v>
      </c>
      <c r="G32" s="386">
        <v>3</v>
      </c>
      <c r="H32" s="386">
        <v>4</v>
      </c>
      <c r="I32" s="386">
        <v>5</v>
      </c>
      <c r="J32" s="386">
        <v>6</v>
      </c>
      <c r="K32" s="386">
        <v>7</v>
      </c>
      <c r="L32" s="386">
        <v>8</v>
      </c>
      <c r="M32" s="386">
        <v>9</v>
      </c>
      <c r="N32" s="386">
        <v>1</v>
      </c>
      <c r="O32" s="386">
        <v>2</v>
      </c>
      <c r="P32" s="386">
        <v>3</v>
      </c>
      <c r="Q32" s="912"/>
      <c r="R32" s="385">
        <v>4</v>
      </c>
      <c r="S32" s="385">
        <v>4</v>
      </c>
      <c r="T32" s="385"/>
      <c r="U32" s="385"/>
      <c r="W32" s="674"/>
      <c r="X32" s="674"/>
      <c r="Y32" s="674"/>
      <c r="Z32" s="667">
        <v>11011001</v>
      </c>
      <c r="AA32" s="671"/>
      <c r="AB32" s="665"/>
      <c r="AC32" s="665"/>
    </row>
    <row r="33" spans="1:29" x14ac:dyDescent="0.2">
      <c r="A33" s="383" t="s">
        <v>1450</v>
      </c>
      <c r="B33" s="384">
        <v>2</v>
      </c>
      <c r="D33" s="387" t="s">
        <v>993</v>
      </c>
      <c r="E33" s="987">
        <v>0.08</v>
      </c>
      <c r="F33" s="987">
        <v>0.1</v>
      </c>
      <c r="G33" s="987">
        <v>0.12</v>
      </c>
      <c r="H33" s="987">
        <v>0.14000000000000001</v>
      </c>
      <c r="I33" s="987">
        <v>0.16</v>
      </c>
      <c r="J33" s="1131">
        <v>0.1</v>
      </c>
      <c r="K33" s="1131">
        <v>0.11</v>
      </c>
      <c r="L33" s="1131">
        <v>0.05</v>
      </c>
      <c r="M33" s="1131">
        <v>0.06</v>
      </c>
      <c r="N33" s="903">
        <v>0.02</v>
      </c>
      <c r="O33" s="903">
        <v>0.04</v>
      </c>
      <c r="P33" s="903">
        <v>0</v>
      </c>
      <c r="Q33" s="644"/>
      <c r="U33" s="380"/>
      <c r="Z33" s="667">
        <v>11011005</v>
      </c>
      <c r="AA33" s="671"/>
    </row>
    <row r="34" spans="1:29" x14ac:dyDescent="0.2">
      <c r="A34" s="1152" t="s">
        <v>1218</v>
      </c>
      <c r="B34" s="384">
        <v>3</v>
      </c>
      <c r="D34" s="387" t="s">
        <v>994</v>
      </c>
      <c r="E34" s="987">
        <v>0.18</v>
      </c>
      <c r="F34" s="987">
        <v>0.22</v>
      </c>
      <c r="G34" s="987">
        <v>0.26</v>
      </c>
      <c r="H34" s="987">
        <v>0.3</v>
      </c>
      <c r="I34" s="987">
        <v>0.34</v>
      </c>
      <c r="J34" s="1131">
        <v>0.21</v>
      </c>
      <c r="K34" s="1131">
        <v>0.22999999999999998</v>
      </c>
      <c r="L34" s="1131">
        <v>0.1</v>
      </c>
      <c r="M34" s="1131">
        <v>0.12</v>
      </c>
      <c r="N34" s="903">
        <v>0.04</v>
      </c>
      <c r="O34" s="903">
        <v>0.06</v>
      </c>
      <c r="P34" s="903">
        <v>0</v>
      </c>
      <c r="Q34" s="644"/>
      <c r="R34" s="380"/>
      <c r="Z34" s="667">
        <v>11011101</v>
      </c>
      <c r="AA34" s="671"/>
    </row>
    <row r="35" spans="1:29" x14ac:dyDescent="0.2">
      <c r="A35" s="383" t="s">
        <v>2181</v>
      </c>
      <c r="B35" s="384">
        <v>4</v>
      </c>
      <c r="D35" s="387" t="s">
        <v>995</v>
      </c>
      <c r="E35" s="987">
        <v>0.26</v>
      </c>
      <c r="F35" s="987">
        <v>0.38</v>
      </c>
      <c r="G35" s="987">
        <v>0.46</v>
      </c>
      <c r="H35" s="987">
        <v>0.52</v>
      </c>
      <c r="I35" s="987">
        <v>0.6</v>
      </c>
      <c r="J35" s="1131">
        <v>0.28999999999999998</v>
      </c>
      <c r="K35" s="1131">
        <v>0.31</v>
      </c>
      <c r="L35" s="1131">
        <v>0.22</v>
      </c>
      <c r="M35" s="1131">
        <v>0.25</v>
      </c>
      <c r="N35" s="903">
        <v>0.06</v>
      </c>
      <c r="O35" s="903">
        <v>0.08</v>
      </c>
      <c r="P35" s="903">
        <v>0</v>
      </c>
      <c r="Q35" s="644"/>
      <c r="Z35" s="667">
        <v>11011105</v>
      </c>
      <c r="AA35" s="671"/>
    </row>
    <row r="36" spans="1:29" x14ac:dyDescent="0.2">
      <c r="A36" s="383" t="s">
        <v>2182</v>
      </c>
      <c r="B36" s="384">
        <v>5</v>
      </c>
      <c r="D36" s="387" t="s">
        <v>996</v>
      </c>
      <c r="E36" s="987">
        <v>0.38</v>
      </c>
      <c r="F36" s="987">
        <v>0.62</v>
      </c>
      <c r="G36" s="987">
        <v>0.64</v>
      </c>
      <c r="H36" s="987">
        <v>0.72</v>
      </c>
      <c r="I36" s="987">
        <v>0.86</v>
      </c>
      <c r="J36" s="1131">
        <v>0.41000000000000003</v>
      </c>
      <c r="K36" s="1131">
        <v>0.43</v>
      </c>
      <c r="L36" s="1131">
        <v>0.41000000000000003</v>
      </c>
      <c r="M36" s="1131">
        <v>0.44999999999999996</v>
      </c>
      <c r="N36" s="903">
        <v>0.04</v>
      </c>
      <c r="O36" s="903">
        <v>0.04</v>
      </c>
      <c r="P36" s="903">
        <v>0</v>
      </c>
      <c r="Q36" s="644"/>
      <c r="Z36" s="667">
        <v>11011201</v>
      </c>
      <c r="AA36" s="671"/>
    </row>
    <row r="37" spans="1:29" s="380" customFormat="1" x14ac:dyDescent="0.2">
      <c r="A37" s="383" t="s">
        <v>3851</v>
      </c>
      <c r="B37" s="384">
        <v>6</v>
      </c>
      <c r="C37" s="385"/>
      <c r="D37" s="387" t="s">
        <v>1435</v>
      </c>
      <c r="E37" s="987">
        <v>0.62</v>
      </c>
      <c r="F37" s="987">
        <v>0.94</v>
      </c>
      <c r="G37" s="987">
        <v>0.94</v>
      </c>
      <c r="H37" s="987">
        <v>1</v>
      </c>
      <c r="I37" s="987">
        <v>1.3</v>
      </c>
      <c r="J37" s="1131">
        <v>0.65</v>
      </c>
      <c r="K37" s="1131">
        <v>0.69</v>
      </c>
      <c r="L37" s="1131">
        <v>0.63</v>
      </c>
      <c r="M37" s="1131">
        <v>0.67999999999999994</v>
      </c>
      <c r="N37" s="903">
        <v>0</v>
      </c>
      <c r="O37" s="903">
        <v>0</v>
      </c>
      <c r="P37" s="903">
        <v>0</v>
      </c>
      <c r="Q37" s="912"/>
      <c r="T37" s="385"/>
      <c r="U37" s="385"/>
      <c r="W37" s="674"/>
      <c r="X37" s="674"/>
      <c r="Y37" s="674"/>
      <c r="Z37" s="667">
        <v>11011205</v>
      </c>
      <c r="AA37" s="671"/>
      <c r="AB37" s="665"/>
      <c r="AC37" s="665"/>
    </row>
    <row r="38" spans="1:29" x14ac:dyDescent="0.2">
      <c r="A38" s="388" t="s">
        <v>3852</v>
      </c>
      <c r="B38" s="389">
        <v>7</v>
      </c>
      <c r="D38" s="387" t="s">
        <v>1437</v>
      </c>
      <c r="E38" s="987">
        <v>0</v>
      </c>
      <c r="F38" s="987">
        <v>0</v>
      </c>
      <c r="G38" s="987">
        <v>0</v>
      </c>
      <c r="H38" s="987">
        <v>0</v>
      </c>
      <c r="I38" s="987">
        <v>0</v>
      </c>
      <c r="J38" s="1131">
        <v>0</v>
      </c>
      <c r="K38" s="1131">
        <v>0</v>
      </c>
      <c r="L38" s="1131">
        <v>0</v>
      </c>
      <c r="M38" s="1131">
        <v>0</v>
      </c>
      <c r="N38" s="903">
        <v>0</v>
      </c>
      <c r="O38" s="903">
        <v>0</v>
      </c>
      <c r="P38" s="903">
        <v>0</v>
      </c>
      <c r="Q38" s="644"/>
      <c r="R38" s="380" t="s">
        <v>1463</v>
      </c>
      <c r="U38" s="380"/>
      <c r="Z38" s="667">
        <v>11012001</v>
      </c>
      <c r="AA38" s="671"/>
    </row>
    <row r="39" spans="1:29" x14ac:dyDescent="0.2">
      <c r="J39" s="644"/>
      <c r="K39" s="644"/>
      <c r="L39" s="644"/>
      <c r="M39" s="644"/>
      <c r="N39" s="644"/>
      <c r="O39" s="644"/>
      <c r="P39" s="644"/>
      <c r="Q39" s="644"/>
      <c r="R39" s="385">
        <v>1</v>
      </c>
      <c r="S39" s="385">
        <v>1</v>
      </c>
      <c r="Z39" s="667">
        <v>11012005</v>
      </c>
      <c r="AA39" s="671"/>
    </row>
    <row r="40" spans="1:29" x14ac:dyDescent="0.25">
      <c r="A40" s="391" t="s">
        <v>1452</v>
      </c>
      <c r="B40" s="379">
        <f>Input!K51</f>
        <v>1</v>
      </c>
      <c r="C40" s="380"/>
      <c r="J40" s="901" t="s">
        <v>252</v>
      </c>
      <c r="K40" s="902"/>
      <c r="L40" s="902"/>
      <c r="M40" s="902"/>
      <c r="N40" s="902"/>
      <c r="O40" s="902"/>
      <c r="P40" s="902"/>
      <c r="Q40" s="644"/>
      <c r="R40" s="385">
        <v>2</v>
      </c>
      <c r="S40" s="385">
        <v>11</v>
      </c>
      <c r="Z40" s="667">
        <v>11012101</v>
      </c>
      <c r="AA40" s="671"/>
    </row>
    <row r="41" spans="1:29" s="380" customFormat="1" x14ac:dyDescent="0.25">
      <c r="A41" s="394" t="s">
        <v>1029</v>
      </c>
      <c r="B41" s="384">
        <v>1</v>
      </c>
      <c r="C41" s="385"/>
      <c r="D41" s="400"/>
      <c r="E41" s="401"/>
      <c r="F41" s="401"/>
      <c r="G41" s="401"/>
      <c r="H41" s="401"/>
      <c r="I41" s="395"/>
      <c r="J41" s="901" t="s">
        <v>310</v>
      </c>
      <c r="K41" s="901"/>
      <c r="L41" s="901"/>
      <c r="M41" s="901"/>
      <c r="N41" s="901"/>
      <c r="O41" s="901"/>
      <c r="P41" s="901"/>
      <c r="Q41" s="912"/>
      <c r="R41" s="385">
        <v>3</v>
      </c>
      <c r="S41" s="385">
        <v>12</v>
      </c>
      <c r="T41" s="385"/>
      <c r="U41" s="385"/>
      <c r="W41" s="674"/>
      <c r="X41" s="674"/>
      <c r="Y41" s="674"/>
      <c r="Z41" s="667">
        <v>11012105</v>
      </c>
      <c r="AA41" s="671"/>
      <c r="AB41" s="665"/>
      <c r="AC41" s="665"/>
    </row>
    <row r="42" spans="1:29" x14ac:dyDescent="0.2">
      <c r="A42" s="388" t="s">
        <v>1030</v>
      </c>
      <c r="B42" s="389">
        <v>2</v>
      </c>
      <c r="D42" s="403"/>
      <c r="E42" s="403"/>
      <c r="F42" s="403"/>
      <c r="G42" s="403"/>
      <c r="H42" s="403"/>
      <c r="I42" s="403"/>
      <c r="Q42" s="644"/>
      <c r="R42" s="385">
        <v>4</v>
      </c>
      <c r="S42" s="385">
        <v>13</v>
      </c>
      <c r="U42" s="380"/>
      <c r="Z42" s="667">
        <v>11012201</v>
      </c>
      <c r="AA42" s="671"/>
    </row>
    <row r="43" spans="1:29" x14ac:dyDescent="0.2">
      <c r="D43" s="395"/>
      <c r="E43" s="395"/>
      <c r="F43" s="395"/>
      <c r="G43" s="395"/>
      <c r="H43" s="395"/>
      <c r="I43" s="395"/>
      <c r="Q43" s="644"/>
      <c r="R43" s="385">
        <v>5</v>
      </c>
      <c r="S43" s="385">
        <v>14</v>
      </c>
      <c r="Z43" s="667">
        <v>11012205</v>
      </c>
      <c r="AA43" s="671"/>
    </row>
    <row r="44" spans="1:29" x14ac:dyDescent="0.25">
      <c r="A44" s="391" t="s">
        <v>979</v>
      </c>
      <c r="B44" s="379">
        <f>Input!K53</f>
        <v>1</v>
      </c>
      <c r="D44" s="395"/>
      <c r="E44" s="395"/>
      <c r="F44" s="395"/>
      <c r="G44" s="395"/>
      <c r="H44" s="395"/>
      <c r="I44" s="395"/>
      <c r="R44" s="385">
        <v>6</v>
      </c>
      <c r="S44" s="385">
        <v>2</v>
      </c>
      <c r="Z44" s="667">
        <v>11013001</v>
      </c>
      <c r="AA44" s="671"/>
    </row>
    <row r="45" spans="1:29" s="380" customFormat="1" x14ac:dyDescent="0.2">
      <c r="A45" s="394" t="s">
        <v>1130</v>
      </c>
      <c r="B45" s="384">
        <v>1</v>
      </c>
      <c r="D45" s="395"/>
      <c r="E45" s="395"/>
      <c r="F45" s="395"/>
      <c r="G45" s="395"/>
      <c r="H45" s="395"/>
      <c r="I45" s="395"/>
      <c r="R45" s="385">
        <v>7</v>
      </c>
      <c r="S45" s="385">
        <v>3</v>
      </c>
      <c r="T45" s="385"/>
      <c r="U45" s="385"/>
      <c r="W45" s="674"/>
      <c r="X45" s="674"/>
      <c r="Y45" s="674"/>
      <c r="Z45" s="667">
        <v>11013005</v>
      </c>
      <c r="AA45" s="671"/>
      <c r="AB45" s="665"/>
      <c r="AC45" s="665"/>
    </row>
    <row r="46" spans="1:29" x14ac:dyDescent="0.2">
      <c r="A46" s="394" t="s">
        <v>1453</v>
      </c>
      <c r="B46" s="384">
        <v>2</v>
      </c>
      <c r="C46" s="398">
        <v>0.5</v>
      </c>
      <c r="D46" s="395"/>
      <c r="E46" s="395"/>
      <c r="F46" s="395"/>
      <c r="G46" s="395"/>
      <c r="H46" s="395"/>
      <c r="I46" s="395"/>
      <c r="R46" s="385">
        <v>8</v>
      </c>
      <c r="S46" s="385">
        <v>4</v>
      </c>
      <c r="U46" s="380"/>
      <c r="Z46" s="667">
        <v>11013101</v>
      </c>
      <c r="AA46" s="671"/>
    </row>
    <row r="47" spans="1:29" x14ac:dyDescent="0.2">
      <c r="A47" s="394" t="s">
        <v>1454</v>
      </c>
      <c r="B47" s="384">
        <v>3</v>
      </c>
      <c r="C47" s="398">
        <v>1</v>
      </c>
      <c r="D47" s="395"/>
      <c r="E47" s="395"/>
      <c r="F47" s="395"/>
      <c r="G47" s="395"/>
      <c r="H47" s="395"/>
      <c r="I47" s="395"/>
      <c r="R47" s="385">
        <v>9</v>
      </c>
      <c r="S47" s="385">
        <v>5</v>
      </c>
      <c r="Z47" s="667">
        <v>11013105</v>
      </c>
      <c r="AA47" s="671"/>
    </row>
    <row r="48" spans="1:29" x14ac:dyDescent="0.2">
      <c r="A48" s="394" t="s">
        <v>1455</v>
      </c>
      <c r="B48" s="384">
        <v>4</v>
      </c>
      <c r="C48" s="398">
        <v>1.5</v>
      </c>
      <c r="D48" s="395"/>
      <c r="E48" s="395"/>
      <c r="F48" s="395"/>
      <c r="G48" s="395"/>
      <c r="H48" s="395"/>
      <c r="I48" s="395"/>
      <c r="R48" s="385">
        <v>10</v>
      </c>
      <c r="S48" s="385">
        <v>6</v>
      </c>
      <c r="Z48" s="667">
        <v>11013201</v>
      </c>
      <c r="AA48" s="671"/>
    </row>
    <row r="49" spans="1:27" x14ac:dyDescent="0.2">
      <c r="A49" s="394" t="s">
        <v>1456</v>
      </c>
      <c r="B49" s="384">
        <v>5</v>
      </c>
      <c r="C49" s="398">
        <v>2</v>
      </c>
      <c r="R49" s="385">
        <v>11</v>
      </c>
      <c r="S49" s="385">
        <v>7</v>
      </c>
      <c r="Z49" s="667">
        <v>11013205</v>
      </c>
      <c r="AA49" s="671"/>
    </row>
    <row r="50" spans="1:27" x14ac:dyDescent="0.2">
      <c r="A50" s="388" t="s">
        <v>385</v>
      </c>
      <c r="B50" s="389">
        <v>6</v>
      </c>
      <c r="C50" s="399"/>
      <c r="R50" s="385">
        <v>12</v>
      </c>
      <c r="S50" s="385">
        <v>8</v>
      </c>
      <c r="Z50" s="667">
        <v>11014001</v>
      </c>
      <c r="AA50" s="671"/>
    </row>
    <row r="51" spans="1:27" x14ac:dyDescent="0.2">
      <c r="C51" s="402"/>
      <c r="R51" s="385">
        <v>13</v>
      </c>
      <c r="S51" s="385">
        <v>9</v>
      </c>
      <c r="Z51" s="667">
        <v>11014005</v>
      </c>
      <c r="AA51" s="671"/>
    </row>
    <row r="52" spans="1:27" x14ac:dyDescent="0.25">
      <c r="A52" s="391" t="s">
        <v>1457</v>
      </c>
      <c r="B52" s="379">
        <f>IF(Input!K9=5,4,Input!K15)</f>
        <v>2</v>
      </c>
      <c r="C52" s="399"/>
      <c r="R52" s="385">
        <v>14</v>
      </c>
      <c r="S52" s="385">
        <v>10</v>
      </c>
      <c r="Z52" s="667">
        <v>11014101</v>
      </c>
      <c r="AA52" s="671"/>
    </row>
    <row r="53" spans="1:27" x14ac:dyDescent="0.2">
      <c r="A53" s="394" t="s">
        <v>1451</v>
      </c>
      <c r="B53" s="384">
        <v>1</v>
      </c>
      <c r="C53" s="399"/>
      <c r="Z53" s="667">
        <v>11014105</v>
      </c>
      <c r="AA53" s="671"/>
    </row>
    <row r="54" spans="1:27" x14ac:dyDescent="0.2">
      <c r="A54" s="383" t="s">
        <v>1081</v>
      </c>
      <c r="B54" s="384">
        <v>2</v>
      </c>
      <c r="C54" s="399"/>
      <c r="R54" s="380" t="s">
        <v>1449</v>
      </c>
      <c r="Z54" s="667">
        <v>11014201</v>
      </c>
      <c r="AA54" s="671"/>
    </row>
    <row r="55" spans="1:27" x14ac:dyDescent="0.2">
      <c r="A55" s="1140" t="s">
        <v>3339</v>
      </c>
      <c r="B55" s="384">
        <v>3</v>
      </c>
      <c r="C55" s="399"/>
      <c r="R55" s="385">
        <v>1</v>
      </c>
      <c r="S55" s="385">
        <v>1</v>
      </c>
      <c r="Z55" s="667">
        <v>11014205</v>
      </c>
      <c r="AA55" s="671"/>
    </row>
    <row r="56" spans="1:27" x14ac:dyDescent="0.2">
      <c r="A56" s="577" t="s">
        <v>384</v>
      </c>
      <c r="B56" s="389">
        <v>4</v>
      </c>
      <c r="C56" s="399"/>
      <c r="R56" s="385">
        <v>2</v>
      </c>
      <c r="S56" s="385">
        <v>3</v>
      </c>
      <c r="Z56" s="667">
        <v>11015001</v>
      </c>
      <c r="AA56" s="671"/>
    </row>
    <row r="57" spans="1:27" x14ac:dyDescent="0.2">
      <c r="A57" s="404"/>
      <c r="B57" s="404"/>
      <c r="C57" s="402"/>
      <c r="R57" s="385">
        <v>3</v>
      </c>
      <c r="S57" s="385">
        <v>2</v>
      </c>
      <c r="Z57" s="667">
        <v>11015005</v>
      </c>
      <c r="AA57" s="671"/>
    </row>
    <row r="58" spans="1:27" x14ac:dyDescent="0.25">
      <c r="A58" s="391" t="s">
        <v>3738</v>
      </c>
      <c r="B58" s="379">
        <f>VLOOKUP(Input!K5,R29:S32,2)</f>
        <v>2</v>
      </c>
      <c r="C58" s="399"/>
      <c r="Z58" s="667">
        <v>11015101</v>
      </c>
      <c r="AA58" s="671"/>
    </row>
    <row r="59" spans="1:27" x14ac:dyDescent="0.2">
      <c r="A59" s="394" t="s">
        <v>1459</v>
      </c>
      <c r="B59" s="384">
        <v>1</v>
      </c>
      <c r="C59" s="399"/>
      <c r="Z59" s="667">
        <v>11015105</v>
      </c>
      <c r="AA59" s="671"/>
    </row>
    <row r="60" spans="1:27" x14ac:dyDescent="0.2">
      <c r="A60" s="394" t="s">
        <v>1460</v>
      </c>
      <c r="B60" s="384">
        <v>2</v>
      </c>
      <c r="C60" s="399"/>
      <c r="Z60" s="667">
        <v>11015201</v>
      </c>
      <c r="AA60" s="671"/>
    </row>
    <row r="61" spans="1:27" x14ac:dyDescent="0.2">
      <c r="A61" s="394" t="s">
        <v>1461</v>
      </c>
      <c r="B61" s="384">
        <v>3</v>
      </c>
      <c r="C61" s="399"/>
      <c r="Z61" s="667">
        <v>11015205</v>
      </c>
      <c r="AA61" s="671"/>
    </row>
    <row r="62" spans="1:27" x14ac:dyDescent="0.2">
      <c r="A62" s="1141" t="s">
        <v>3737</v>
      </c>
      <c r="B62" s="389">
        <v>4</v>
      </c>
      <c r="C62" s="399"/>
      <c r="Z62" s="667">
        <v>11101001</v>
      </c>
      <c r="AA62" s="671"/>
    </row>
    <row r="63" spans="1:27" x14ac:dyDescent="0.2">
      <c r="C63" s="915" t="s">
        <v>308</v>
      </c>
      <c r="Z63" s="667">
        <v>11101005</v>
      </c>
      <c r="AA63" s="671"/>
    </row>
    <row r="64" spans="1:27" x14ac:dyDescent="0.25">
      <c r="A64" s="391" t="s">
        <v>982</v>
      </c>
      <c r="B64" s="379">
        <f>Input!K59</f>
        <v>1</v>
      </c>
      <c r="C64" s="915">
        <f>IF(AND(AND(C2=111,C9=100),B25=1),2,0)</f>
        <v>0</v>
      </c>
      <c r="Z64" s="667">
        <v>11101101</v>
      </c>
      <c r="AA64" s="671"/>
    </row>
    <row r="65" spans="1:27" x14ac:dyDescent="0.2">
      <c r="A65" s="1140" t="s">
        <v>1462</v>
      </c>
      <c r="B65" s="384">
        <v>1</v>
      </c>
      <c r="C65" s="399"/>
      <c r="Z65" s="667">
        <v>11101105</v>
      </c>
      <c r="AA65" s="671"/>
    </row>
    <row r="66" spans="1:27" x14ac:dyDescent="0.2">
      <c r="A66" s="1141" t="s">
        <v>1451</v>
      </c>
      <c r="B66" s="389">
        <v>2</v>
      </c>
      <c r="C66" s="399"/>
      <c r="Z66" s="667">
        <v>11101201</v>
      </c>
      <c r="AA66" s="671"/>
    </row>
    <row r="67" spans="1:27" x14ac:dyDescent="0.2">
      <c r="C67" s="399"/>
      <c r="Z67" s="667">
        <v>11101205</v>
      </c>
      <c r="AA67" s="671"/>
    </row>
    <row r="68" spans="1:27" x14ac:dyDescent="0.25">
      <c r="A68" s="391" t="s">
        <v>1463</v>
      </c>
      <c r="B68" s="379">
        <f>VLOOKUP(Input!K37,R39:S52,2)</f>
        <v>4</v>
      </c>
      <c r="C68" s="399"/>
      <c r="Z68" s="667">
        <v>11102001</v>
      </c>
      <c r="AA68" s="671"/>
    </row>
    <row r="69" spans="1:27" x14ac:dyDescent="0.2">
      <c r="A69" s="394" t="s">
        <v>1464</v>
      </c>
      <c r="B69" s="384">
        <v>1</v>
      </c>
      <c r="C69" s="399"/>
      <c r="Z69" s="667">
        <v>11102005</v>
      </c>
      <c r="AA69" s="671"/>
    </row>
    <row r="70" spans="1:27" x14ac:dyDescent="0.2">
      <c r="A70" s="405">
        <v>0.3</v>
      </c>
      <c r="B70" s="384">
        <v>2</v>
      </c>
      <c r="C70" s="406">
        <v>0.3</v>
      </c>
      <c r="Z70" s="667">
        <v>11102101</v>
      </c>
      <c r="AA70" s="671"/>
    </row>
    <row r="71" spans="1:27" x14ac:dyDescent="0.2">
      <c r="A71" s="405">
        <v>0.35</v>
      </c>
      <c r="B71" s="384">
        <v>3</v>
      </c>
      <c r="C71" s="406">
        <v>0.35</v>
      </c>
      <c r="Z71" s="667">
        <v>11102105</v>
      </c>
      <c r="AA71" s="671"/>
    </row>
    <row r="72" spans="1:27" x14ac:dyDescent="0.2">
      <c r="A72" s="405">
        <v>0.4</v>
      </c>
      <c r="B72" s="384">
        <v>4</v>
      </c>
      <c r="C72" s="406">
        <v>0.4</v>
      </c>
      <c r="Z72" s="667">
        <v>11102201</v>
      </c>
      <c r="AA72" s="671"/>
    </row>
    <row r="73" spans="1:27" x14ac:dyDescent="0.2">
      <c r="A73" s="405">
        <v>0.45</v>
      </c>
      <c r="B73" s="384">
        <v>5</v>
      </c>
      <c r="C73" s="406">
        <v>0.45</v>
      </c>
      <c r="Z73" s="667">
        <v>11102205</v>
      </c>
      <c r="AA73" s="671"/>
    </row>
    <row r="74" spans="1:27" x14ac:dyDescent="0.2">
      <c r="A74" s="405">
        <v>0.5</v>
      </c>
      <c r="B74" s="384">
        <v>6</v>
      </c>
      <c r="C74" s="406">
        <v>0.5</v>
      </c>
      <c r="Z74" s="667">
        <v>11103001</v>
      </c>
      <c r="AA74" s="671"/>
    </row>
    <row r="75" spans="1:27" x14ac:dyDescent="0.2">
      <c r="A75" s="405">
        <v>0.55000000000000004</v>
      </c>
      <c r="B75" s="384">
        <v>7</v>
      </c>
      <c r="C75" s="406">
        <v>0.55000000000000004</v>
      </c>
      <c r="Z75" s="667">
        <v>11103005</v>
      </c>
      <c r="AA75" s="671"/>
    </row>
    <row r="76" spans="1:27" x14ac:dyDescent="0.2">
      <c r="A76" s="405">
        <v>0.6</v>
      </c>
      <c r="B76" s="384">
        <v>8</v>
      </c>
      <c r="C76" s="406">
        <v>0.6</v>
      </c>
      <c r="Z76" s="667">
        <v>11103101</v>
      </c>
      <c r="AA76" s="671"/>
    </row>
    <row r="77" spans="1:27" x14ac:dyDescent="0.2">
      <c r="A77" s="405">
        <v>0.65</v>
      </c>
      <c r="B77" s="384">
        <v>9</v>
      </c>
      <c r="C77" s="406">
        <v>0.65</v>
      </c>
      <c r="Z77" s="667">
        <v>11103105</v>
      </c>
      <c r="AA77" s="671"/>
    </row>
    <row r="78" spans="1:27" x14ac:dyDescent="0.2">
      <c r="A78" s="405">
        <v>0.7</v>
      </c>
      <c r="B78" s="384">
        <v>10</v>
      </c>
      <c r="C78" s="406">
        <v>0.7</v>
      </c>
      <c r="Z78" s="667">
        <v>11103201</v>
      </c>
      <c r="AA78" s="671"/>
    </row>
    <row r="79" spans="1:27" x14ac:dyDescent="0.2">
      <c r="A79" s="394" t="s">
        <v>1468</v>
      </c>
      <c r="B79" s="384">
        <v>11</v>
      </c>
      <c r="C79" s="398">
        <v>0.1</v>
      </c>
      <c r="Z79" s="667">
        <v>11103205</v>
      </c>
      <c r="AA79" s="671"/>
    </row>
    <row r="80" spans="1:27" x14ac:dyDescent="0.2">
      <c r="A80" s="383" t="s">
        <v>1465</v>
      </c>
      <c r="B80" s="384">
        <v>12</v>
      </c>
      <c r="C80" s="398">
        <v>0.15</v>
      </c>
      <c r="Z80" s="667">
        <v>11104001</v>
      </c>
      <c r="AA80" s="671"/>
    </row>
    <row r="81" spans="1:27" x14ac:dyDescent="0.2">
      <c r="A81" s="383" t="s">
        <v>1466</v>
      </c>
      <c r="B81" s="384">
        <v>13</v>
      </c>
      <c r="C81" s="398">
        <v>0.2</v>
      </c>
      <c r="Z81" s="667">
        <v>11104005</v>
      </c>
      <c r="AA81" s="671"/>
    </row>
    <row r="82" spans="1:27" x14ac:dyDescent="0.2">
      <c r="A82" s="388" t="s">
        <v>1467</v>
      </c>
      <c r="B82" s="389">
        <v>14</v>
      </c>
      <c r="C82" s="398">
        <v>0.25</v>
      </c>
      <c r="Z82" s="667">
        <v>11104101</v>
      </c>
      <c r="AA82" s="671"/>
    </row>
    <row r="83" spans="1:27" x14ac:dyDescent="0.2">
      <c r="Z83" s="667">
        <v>11104105</v>
      </c>
      <c r="AA83" s="671"/>
    </row>
    <row r="84" spans="1:27" x14ac:dyDescent="0.2">
      <c r="A84" s="407"/>
      <c r="B84" s="408"/>
      <c r="Z84" s="667">
        <v>11104201</v>
      </c>
      <c r="AA84" s="671"/>
    </row>
    <row r="85" spans="1:27" x14ac:dyDescent="0.2">
      <c r="Z85" s="667">
        <v>11104205</v>
      </c>
      <c r="AA85" s="671"/>
    </row>
    <row r="86" spans="1:27" x14ac:dyDescent="0.2">
      <c r="Z86" s="667">
        <v>11105001</v>
      </c>
      <c r="AA86" s="671"/>
    </row>
    <row r="87" spans="1:27" x14ac:dyDescent="0.2">
      <c r="Z87" s="667">
        <v>11105005</v>
      </c>
      <c r="AA87" s="671"/>
    </row>
    <row r="88" spans="1:27" x14ac:dyDescent="0.2">
      <c r="Z88" s="667">
        <v>11105101</v>
      </c>
      <c r="AA88" s="671"/>
    </row>
    <row r="89" spans="1:27" x14ac:dyDescent="0.2">
      <c r="Z89" s="667">
        <v>11105105</v>
      </c>
      <c r="AA89" s="671"/>
    </row>
    <row r="90" spans="1:27" x14ac:dyDescent="0.2">
      <c r="Z90" s="667">
        <v>11105201</v>
      </c>
      <c r="AA90" s="671"/>
    </row>
    <row r="91" spans="1:27" x14ac:dyDescent="0.2">
      <c r="Z91" s="667">
        <v>11105205</v>
      </c>
      <c r="AA91" s="671"/>
    </row>
    <row r="92" spans="1:27" x14ac:dyDescent="0.2">
      <c r="Z92" s="672">
        <v>11111001</v>
      </c>
      <c r="AA92" s="671"/>
    </row>
    <row r="93" spans="1:27" x14ac:dyDescent="0.2">
      <c r="Z93" s="672">
        <v>11111005</v>
      </c>
      <c r="AA93" s="671"/>
    </row>
    <row r="94" spans="1:27" x14ac:dyDescent="0.2">
      <c r="Z94" s="667">
        <v>11111101</v>
      </c>
      <c r="AA94" s="671"/>
    </row>
    <row r="95" spans="1:27" x14ac:dyDescent="0.2">
      <c r="Z95" s="667">
        <v>11111105</v>
      </c>
      <c r="AA95" s="671"/>
    </row>
    <row r="96" spans="1:27" x14ac:dyDescent="0.2">
      <c r="Z96" s="667">
        <v>11111201</v>
      </c>
      <c r="AA96" s="671"/>
    </row>
    <row r="97" spans="26:27" x14ac:dyDescent="0.2">
      <c r="Z97" s="667">
        <v>11111205</v>
      </c>
      <c r="AA97" s="671"/>
    </row>
    <row r="98" spans="26:27" x14ac:dyDescent="0.2">
      <c r="Z98" s="667">
        <v>11112001</v>
      </c>
      <c r="AA98" s="671"/>
    </row>
    <row r="99" spans="26:27" x14ac:dyDescent="0.2">
      <c r="Z99" s="667">
        <v>11112005</v>
      </c>
      <c r="AA99" s="671"/>
    </row>
    <row r="100" spans="26:27" x14ac:dyDescent="0.2">
      <c r="Z100" s="667">
        <v>11112101</v>
      </c>
      <c r="AA100" s="671"/>
    </row>
    <row r="101" spans="26:27" x14ac:dyDescent="0.2">
      <c r="Z101" s="667">
        <v>11112105</v>
      </c>
      <c r="AA101" s="671"/>
    </row>
    <row r="102" spans="26:27" x14ac:dyDescent="0.2">
      <c r="Z102" s="667">
        <v>11112201</v>
      </c>
      <c r="AA102" s="671"/>
    </row>
    <row r="103" spans="26:27" x14ac:dyDescent="0.2">
      <c r="Z103" s="667">
        <v>11112205</v>
      </c>
      <c r="AA103" s="671"/>
    </row>
    <row r="104" spans="26:27" x14ac:dyDescent="0.2">
      <c r="Z104" s="667">
        <v>11113001</v>
      </c>
      <c r="AA104" s="671"/>
    </row>
    <row r="105" spans="26:27" x14ac:dyDescent="0.2">
      <c r="Z105" s="667">
        <v>11113005</v>
      </c>
      <c r="AA105" s="671"/>
    </row>
    <row r="106" spans="26:27" x14ac:dyDescent="0.2">
      <c r="Z106" s="667">
        <v>11113101</v>
      </c>
      <c r="AA106" s="671"/>
    </row>
    <row r="107" spans="26:27" x14ac:dyDescent="0.2">
      <c r="Z107" s="667">
        <v>11113105</v>
      </c>
      <c r="AA107" s="671"/>
    </row>
    <row r="108" spans="26:27" x14ac:dyDescent="0.2">
      <c r="Z108" s="667">
        <v>11113201</v>
      </c>
      <c r="AA108" s="671"/>
    </row>
    <row r="109" spans="26:27" x14ac:dyDescent="0.2">
      <c r="Z109" s="667">
        <v>11113205</v>
      </c>
      <c r="AA109" s="671"/>
    </row>
    <row r="110" spans="26:27" x14ac:dyDescent="0.2">
      <c r="Z110" s="667">
        <v>11114001</v>
      </c>
      <c r="AA110" s="671"/>
    </row>
    <row r="111" spans="26:27" x14ac:dyDescent="0.2">
      <c r="Z111" s="667">
        <v>11114005</v>
      </c>
      <c r="AA111" s="671"/>
    </row>
    <row r="112" spans="26:27" x14ac:dyDescent="0.2">
      <c r="Z112" s="667">
        <v>11114101</v>
      </c>
      <c r="AA112" s="671"/>
    </row>
    <row r="113" spans="26:27" x14ac:dyDescent="0.2">
      <c r="Z113" s="667">
        <v>11114105</v>
      </c>
      <c r="AA113" s="671"/>
    </row>
    <row r="114" spans="26:27" x14ac:dyDescent="0.2">
      <c r="Z114" s="667">
        <v>11114201</v>
      </c>
      <c r="AA114" s="671"/>
    </row>
    <row r="115" spans="26:27" x14ac:dyDescent="0.2">
      <c r="Z115" s="667">
        <v>11114205</v>
      </c>
      <c r="AA115" s="671"/>
    </row>
    <row r="116" spans="26:27" x14ac:dyDescent="0.2">
      <c r="Z116" s="667">
        <v>11115001</v>
      </c>
      <c r="AA116" s="671"/>
    </row>
    <row r="117" spans="26:27" x14ac:dyDescent="0.2">
      <c r="Z117" s="667">
        <v>11115005</v>
      </c>
      <c r="AA117" s="671"/>
    </row>
    <row r="118" spans="26:27" x14ac:dyDescent="0.2">
      <c r="Z118" s="667">
        <v>11115101</v>
      </c>
      <c r="AA118" s="671"/>
    </row>
    <row r="119" spans="26:27" x14ac:dyDescent="0.2">
      <c r="Z119" s="667">
        <v>11115105</v>
      </c>
      <c r="AA119" s="671"/>
    </row>
    <row r="120" spans="26:27" x14ac:dyDescent="0.2">
      <c r="Z120" s="667">
        <v>11115201</v>
      </c>
      <c r="AA120" s="671"/>
    </row>
    <row r="121" spans="26:27" x14ac:dyDescent="0.2">
      <c r="Z121" s="667">
        <v>11115205</v>
      </c>
      <c r="AA121" s="671"/>
    </row>
    <row r="122" spans="26:27" x14ac:dyDescent="0.2">
      <c r="Z122" s="667">
        <v>11201001</v>
      </c>
      <c r="AA122" s="671"/>
    </row>
    <row r="123" spans="26:27" x14ac:dyDescent="0.2">
      <c r="Z123" s="667">
        <v>11201005</v>
      </c>
      <c r="AA123" s="671"/>
    </row>
    <row r="124" spans="26:27" x14ac:dyDescent="0.2">
      <c r="Z124" s="667">
        <v>11201101</v>
      </c>
      <c r="AA124" s="671"/>
    </row>
    <row r="125" spans="26:27" x14ac:dyDescent="0.2">
      <c r="Z125" s="667">
        <v>11201105</v>
      </c>
      <c r="AA125" s="671"/>
    </row>
    <row r="126" spans="26:27" x14ac:dyDescent="0.2">
      <c r="Z126" s="667">
        <v>11201201</v>
      </c>
      <c r="AA126" s="671"/>
    </row>
    <row r="127" spans="26:27" x14ac:dyDescent="0.2">
      <c r="Z127" s="667">
        <v>11201205</v>
      </c>
      <c r="AA127" s="671"/>
    </row>
    <row r="128" spans="26:27" x14ac:dyDescent="0.2">
      <c r="Z128" s="667">
        <v>11202001</v>
      </c>
      <c r="AA128" s="671"/>
    </row>
    <row r="129" spans="26:27" x14ac:dyDescent="0.2">
      <c r="Z129" s="667">
        <v>11202005</v>
      </c>
      <c r="AA129" s="671"/>
    </row>
    <row r="130" spans="26:27" x14ac:dyDescent="0.2">
      <c r="Z130" s="667">
        <v>11202101</v>
      </c>
      <c r="AA130" s="671"/>
    </row>
    <row r="131" spans="26:27" x14ac:dyDescent="0.2">
      <c r="Z131" s="667">
        <v>11202105</v>
      </c>
      <c r="AA131" s="671"/>
    </row>
    <row r="132" spans="26:27" x14ac:dyDescent="0.2">
      <c r="Z132" s="667">
        <v>11202201</v>
      </c>
      <c r="AA132" s="671"/>
    </row>
    <row r="133" spans="26:27" x14ac:dyDescent="0.2">
      <c r="Z133" s="667">
        <v>11202205</v>
      </c>
      <c r="AA133" s="671"/>
    </row>
    <row r="134" spans="26:27" x14ac:dyDescent="0.2">
      <c r="Z134" s="667">
        <v>11203001</v>
      </c>
      <c r="AA134" s="671"/>
    </row>
    <row r="135" spans="26:27" x14ac:dyDescent="0.2">
      <c r="Z135" s="667">
        <v>11203005</v>
      </c>
      <c r="AA135" s="671"/>
    </row>
    <row r="136" spans="26:27" x14ac:dyDescent="0.2">
      <c r="Z136" s="667">
        <v>11203101</v>
      </c>
      <c r="AA136" s="671"/>
    </row>
    <row r="137" spans="26:27" x14ac:dyDescent="0.2">
      <c r="Z137" s="667">
        <v>11203105</v>
      </c>
      <c r="AA137" s="671"/>
    </row>
    <row r="138" spans="26:27" x14ac:dyDescent="0.2">
      <c r="Z138" s="667">
        <v>11203201</v>
      </c>
      <c r="AA138" s="671"/>
    </row>
    <row r="139" spans="26:27" x14ac:dyDescent="0.2">
      <c r="Z139" s="667">
        <v>11203205</v>
      </c>
      <c r="AA139" s="671"/>
    </row>
    <row r="140" spans="26:27" x14ac:dyDescent="0.2">
      <c r="Z140" s="667">
        <v>11204001</v>
      </c>
      <c r="AA140" s="671"/>
    </row>
    <row r="141" spans="26:27" x14ac:dyDescent="0.2">
      <c r="Z141" s="667">
        <v>11204005</v>
      </c>
      <c r="AA141" s="671"/>
    </row>
    <row r="142" spans="26:27" x14ac:dyDescent="0.2">
      <c r="Z142" s="667">
        <v>11204101</v>
      </c>
      <c r="AA142" s="671"/>
    </row>
    <row r="143" spans="26:27" x14ac:dyDescent="0.2">
      <c r="Z143" s="667">
        <v>11204105</v>
      </c>
      <c r="AA143" s="671"/>
    </row>
    <row r="144" spans="26:27" x14ac:dyDescent="0.2">
      <c r="Z144" s="667">
        <v>11204201</v>
      </c>
      <c r="AA144" s="671"/>
    </row>
    <row r="145" spans="26:27" x14ac:dyDescent="0.2">
      <c r="Z145" s="667">
        <v>11204205</v>
      </c>
      <c r="AA145" s="671"/>
    </row>
    <row r="146" spans="26:27" x14ac:dyDescent="0.2">
      <c r="Z146" s="667">
        <v>11205001</v>
      </c>
      <c r="AA146" s="671"/>
    </row>
    <row r="147" spans="26:27" x14ac:dyDescent="0.2">
      <c r="Z147" s="667">
        <v>11205005</v>
      </c>
      <c r="AA147" s="671"/>
    </row>
    <row r="148" spans="26:27" x14ac:dyDescent="0.2">
      <c r="Z148" s="667">
        <v>11205101</v>
      </c>
      <c r="AA148" s="671"/>
    </row>
    <row r="149" spans="26:27" x14ac:dyDescent="0.2">
      <c r="Z149" s="667">
        <v>11205105</v>
      </c>
      <c r="AA149" s="671"/>
    </row>
    <row r="150" spans="26:27" x14ac:dyDescent="0.2">
      <c r="Z150" s="667">
        <v>11205201</v>
      </c>
      <c r="AA150" s="671"/>
    </row>
    <row r="151" spans="26:27" x14ac:dyDescent="0.2">
      <c r="Z151" s="667">
        <v>11205205</v>
      </c>
      <c r="AA151" s="671"/>
    </row>
    <row r="152" spans="26:27" x14ac:dyDescent="0.2">
      <c r="Z152" s="672">
        <v>11211001</v>
      </c>
      <c r="AA152" s="671"/>
    </row>
    <row r="153" spans="26:27" x14ac:dyDescent="0.2">
      <c r="Z153" s="672">
        <v>11211005</v>
      </c>
      <c r="AA153" s="671"/>
    </row>
    <row r="154" spans="26:27" x14ac:dyDescent="0.2">
      <c r="Z154" s="667">
        <v>11211101</v>
      </c>
      <c r="AA154" s="671"/>
    </row>
    <row r="155" spans="26:27" x14ac:dyDescent="0.2">
      <c r="Z155" s="667">
        <v>11211105</v>
      </c>
      <c r="AA155" s="671"/>
    </row>
    <row r="156" spans="26:27" x14ac:dyDescent="0.2">
      <c r="Z156" s="667">
        <v>11211201</v>
      </c>
      <c r="AA156" s="671"/>
    </row>
    <row r="157" spans="26:27" x14ac:dyDescent="0.2">
      <c r="Z157" s="667">
        <v>11211205</v>
      </c>
      <c r="AA157" s="671"/>
    </row>
    <row r="158" spans="26:27" x14ac:dyDescent="0.2">
      <c r="Z158" s="667">
        <v>11212001</v>
      </c>
      <c r="AA158" s="671"/>
    </row>
    <row r="159" spans="26:27" x14ac:dyDescent="0.2">
      <c r="Z159" s="667">
        <v>11212005</v>
      </c>
      <c r="AA159" s="671"/>
    </row>
    <row r="160" spans="26:27" x14ac:dyDescent="0.2">
      <c r="Z160" s="667">
        <v>11212101</v>
      </c>
      <c r="AA160" s="671"/>
    </row>
    <row r="161" spans="26:27" x14ac:dyDescent="0.2">
      <c r="Z161" s="667">
        <v>11212105</v>
      </c>
      <c r="AA161" s="671"/>
    </row>
    <row r="162" spans="26:27" x14ac:dyDescent="0.2">
      <c r="Z162" s="667">
        <v>11212201</v>
      </c>
      <c r="AA162" s="671"/>
    </row>
    <row r="163" spans="26:27" x14ac:dyDescent="0.2">
      <c r="Z163" s="667">
        <v>11212205</v>
      </c>
      <c r="AA163" s="671"/>
    </row>
    <row r="164" spans="26:27" x14ac:dyDescent="0.2">
      <c r="Z164" s="667">
        <v>11213001</v>
      </c>
      <c r="AA164" s="671"/>
    </row>
    <row r="165" spans="26:27" x14ac:dyDescent="0.2">
      <c r="Z165" s="667">
        <v>11213005</v>
      </c>
      <c r="AA165" s="671"/>
    </row>
    <row r="166" spans="26:27" x14ac:dyDescent="0.2">
      <c r="Z166" s="667">
        <v>11213101</v>
      </c>
      <c r="AA166" s="671"/>
    </row>
    <row r="167" spans="26:27" x14ac:dyDescent="0.2">
      <c r="Z167" s="667">
        <v>11213105</v>
      </c>
      <c r="AA167" s="671"/>
    </row>
    <row r="168" spans="26:27" x14ac:dyDescent="0.2">
      <c r="Z168" s="667">
        <v>11213201</v>
      </c>
      <c r="AA168" s="671"/>
    </row>
    <row r="169" spans="26:27" x14ac:dyDescent="0.2">
      <c r="Z169" s="667">
        <v>11213205</v>
      </c>
      <c r="AA169" s="671"/>
    </row>
    <row r="170" spans="26:27" x14ac:dyDescent="0.2">
      <c r="Z170" s="667">
        <v>11214001</v>
      </c>
      <c r="AA170" s="671"/>
    </row>
    <row r="171" spans="26:27" x14ac:dyDescent="0.2">
      <c r="Z171" s="667">
        <v>11214005</v>
      </c>
      <c r="AA171" s="671"/>
    </row>
    <row r="172" spans="26:27" x14ac:dyDescent="0.2">
      <c r="Z172" s="667">
        <v>11214101</v>
      </c>
      <c r="AA172" s="671"/>
    </row>
    <row r="173" spans="26:27" x14ac:dyDescent="0.2">
      <c r="Z173" s="667">
        <v>11214105</v>
      </c>
      <c r="AA173" s="671"/>
    </row>
    <row r="174" spans="26:27" x14ac:dyDescent="0.2">
      <c r="Z174" s="667">
        <v>11214201</v>
      </c>
      <c r="AA174" s="671"/>
    </row>
    <row r="175" spans="26:27" x14ac:dyDescent="0.2">
      <c r="Z175" s="667">
        <v>11214205</v>
      </c>
      <c r="AA175" s="671"/>
    </row>
    <row r="176" spans="26:27" x14ac:dyDescent="0.2">
      <c r="Z176" s="667">
        <v>11215001</v>
      </c>
      <c r="AA176" s="671"/>
    </row>
    <row r="177" spans="26:27" x14ac:dyDescent="0.2">
      <c r="Z177" s="667">
        <v>11215005</v>
      </c>
      <c r="AA177" s="671"/>
    </row>
    <row r="178" spans="26:27" x14ac:dyDescent="0.2">
      <c r="Z178" s="667">
        <v>11215101</v>
      </c>
      <c r="AA178" s="671"/>
    </row>
    <row r="179" spans="26:27" x14ac:dyDescent="0.2">
      <c r="Z179" s="667">
        <v>11215105</v>
      </c>
      <c r="AA179" s="671"/>
    </row>
    <row r="180" spans="26:27" x14ac:dyDescent="0.2">
      <c r="Z180" s="667">
        <v>11215201</v>
      </c>
      <c r="AA180" s="671"/>
    </row>
    <row r="181" spans="26:27" x14ac:dyDescent="0.2">
      <c r="Z181" s="667">
        <v>11215205</v>
      </c>
      <c r="AA181" s="671"/>
    </row>
    <row r="182" spans="26:27" x14ac:dyDescent="0.2">
      <c r="Z182" s="667">
        <v>12001001</v>
      </c>
      <c r="AA182" s="671"/>
    </row>
    <row r="183" spans="26:27" x14ac:dyDescent="0.2">
      <c r="Z183" s="667">
        <v>12001005</v>
      </c>
      <c r="AA183" s="671"/>
    </row>
    <row r="184" spans="26:27" x14ac:dyDescent="0.2">
      <c r="Z184" s="667">
        <v>12001101</v>
      </c>
      <c r="AA184" s="671"/>
    </row>
    <row r="185" spans="26:27" x14ac:dyDescent="0.2">
      <c r="Z185" s="667">
        <v>12001105</v>
      </c>
      <c r="AA185" s="671"/>
    </row>
    <row r="186" spans="26:27" x14ac:dyDescent="0.2">
      <c r="Z186" s="667">
        <v>12001201</v>
      </c>
      <c r="AA186" s="671"/>
    </row>
    <row r="187" spans="26:27" x14ac:dyDescent="0.2">
      <c r="Z187" s="667">
        <v>12001205</v>
      </c>
      <c r="AA187" s="671"/>
    </row>
    <row r="188" spans="26:27" x14ac:dyDescent="0.2">
      <c r="Z188" s="667">
        <v>12002001</v>
      </c>
      <c r="AA188" s="671"/>
    </row>
    <row r="189" spans="26:27" x14ac:dyDescent="0.2">
      <c r="Z189" s="667">
        <v>12002005</v>
      </c>
      <c r="AA189" s="671"/>
    </row>
    <row r="190" spans="26:27" x14ac:dyDescent="0.2">
      <c r="Z190" s="667">
        <v>12002101</v>
      </c>
      <c r="AA190" s="671"/>
    </row>
    <row r="191" spans="26:27" x14ac:dyDescent="0.2">
      <c r="Z191" s="667">
        <v>12002105</v>
      </c>
      <c r="AA191" s="671"/>
    </row>
    <row r="192" spans="26:27" x14ac:dyDescent="0.2">
      <c r="Z192" s="667">
        <v>12002201</v>
      </c>
      <c r="AA192" s="671"/>
    </row>
    <row r="193" spans="26:27" x14ac:dyDescent="0.2">
      <c r="Z193" s="667">
        <v>12002205</v>
      </c>
      <c r="AA193" s="671"/>
    </row>
    <row r="194" spans="26:27" x14ac:dyDescent="0.2">
      <c r="Z194" s="667">
        <v>12003001</v>
      </c>
      <c r="AA194" s="671"/>
    </row>
    <row r="195" spans="26:27" x14ac:dyDescent="0.2">
      <c r="Z195" s="667">
        <v>12003005</v>
      </c>
      <c r="AA195" s="671"/>
    </row>
    <row r="196" spans="26:27" x14ac:dyDescent="0.2">
      <c r="Z196" s="667">
        <v>12003101</v>
      </c>
      <c r="AA196" s="671"/>
    </row>
    <row r="197" spans="26:27" x14ac:dyDescent="0.2">
      <c r="Z197" s="667">
        <v>12003105</v>
      </c>
      <c r="AA197" s="671"/>
    </row>
    <row r="198" spans="26:27" x14ac:dyDescent="0.2">
      <c r="Z198" s="667">
        <v>12003201</v>
      </c>
      <c r="AA198" s="671"/>
    </row>
    <row r="199" spans="26:27" x14ac:dyDescent="0.2">
      <c r="Z199" s="667">
        <v>12003205</v>
      </c>
      <c r="AA199" s="671"/>
    </row>
    <row r="200" spans="26:27" x14ac:dyDescent="0.2">
      <c r="Z200" s="667">
        <v>12004001</v>
      </c>
      <c r="AA200" s="671"/>
    </row>
    <row r="201" spans="26:27" x14ac:dyDescent="0.2">
      <c r="Z201" s="667">
        <v>12004005</v>
      </c>
      <c r="AA201" s="671"/>
    </row>
    <row r="202" spans="26:27" x14ac:dyDescent="0.2">
      <c r="Z202" s="667">
        <v>12004101</v>
      </c>
      <c r="AA202" s="671"/>
    </row>
    <row r="203" spans="26:27" x14ac:dyDescent="0.2">
      <c r="Z203" s="667">
        <v>12004105</v>
      </c>
      <c r="AA203" s="671"/>
    </row>
    <row r="204" spans="26:27" x14ac:dyDescent="0.2">
      <c r="Z204" s="667">
        <v>12004201</v>
      </c>
      <c r="AA204" s="671"/>
    </row>
    <row r="205" spans="26:27" x14ac:dyDescent="0.2">
      <c r="Z205" s="667">
        <v>12004205</v>
      </c>
      <c r="AA205" s="671"/>
    </row>
    <row r="206" spans="26:27" x14ac:dyDescent="0.2">
      <c r="Z206" s="667">
        <v>12005001</v>
      </c>
      <c r="AA206" s="671"/>
    </row>
    <row r="207" spans="26:27" x14ac:dyDescent="0.2">
      <c r="Z207" s="667">
        <v>12005005</v>
      </c>
      <c r="AA207" s="671"/>
    </row>
    <row r="208" spans="26:27" x14ac:dyDescent="0.2">
      <c r="Z208" s="667">
        <v>12005101</v>
      </c>
      <c r="AA208" s="671"/>
    </row>
    <row r="209" spans="26:27" x14ac:dyDescent="0.2">
      <c r="Z209" s="667">
        <v>12005105</v>
      </c>
      <c r="AA209" s="671"/>
    </row>
    <row r="210" spans="26:27" x14ac:dyDescent="0.2">
      <c r="Z210" s="667">
        <v>12005201</v>
      </c>
      <c r="AA210" s="671"/>
    </row>
    <row r="211" spans="26:27" x14ac:dyDescent="0.2">
      <c r="Z211" s="667">
        <v>12005205</v>
      </c>
      <c r="AA211" s="671"/>
    </row>
    <row r="212" spans="26:27" x14ac:dyDescent="0.2">
      <c r="Z212" s="672">
        <v>12011001</v>
      </c>
      <c r="AA212" s="671"/>
    </row>
    <row r="213" spans="26:27" x14ac:dyDescent="0.2">
      <c r="Z213" s="672">
        <v>12011005</v>
      </c>
      <c r="AA213" s="671"/>
    </row>
    <row r="214" spans="26:27" x14ac:dyDescent="0.2">
      <c r="Z214" s="667">
        <v>12011101</v>
      </c>
      <c r="AA214" s="671"/>
    </row>
    <row r="215" spans="26:27" x14ac:dyDescent="0.2">
      <c r="Z215" s="667">
        <v>12011105</v>
      </c>
      <c r="AA215" s="671"/>
    </row>
    <row r="216" spans="26:27" x14ac:dyDescent="0.2">
      <c r="Z216" s="667">
        <v>12011201</v>
      </c>
      <c r="AA216" s="671"/>
    </row>
    <row r="217" spans="26:27" x14ac:dyDescent="0.2">
      <c r="Z217" s="667">
        <v>12011205</v>
      </c>
      <c r="AA217" s="671"/>
    </row>
    <row r="218" spans="26:27" x14ac:dyDescent="0.2">
      <c r="Z218" s="667">
        <v>12012001</v>
      </c>
      <c r="AA218" s="671"/>
    </row>
    <row r="219" spans="26:27" x14ac:dyDescent="0.2">
      <c r="Z219" s="667">
        <v>12012005</v>
      </c>
      <c r="AA219" s="671"/>
    </row>
    <row r="220" spans="26:27" x14ac:dyDescent="0.2">
      <c r="Z220" s="667">
        <v>12012101</v>
      </c>
      <c r="AA220" s="671"/>
    </row>
    <row r="221" spans="26:27" x14ac:dyDescent="0.2">
      <c r="Z221" s="667">
        <v>12012105</v>
      </c>
      <c r="AA221" s="671"/>
    </row>
    <row r="222" spans="26:27" x14ac:dyDescent="0.2">
      <c r="Z222" s="667">
        <v>12012201</v>
      </c>
      <c r="AA222" s="671"/>
    </row>
    <row r="223" spans="26:27" x14ac:dyDescent="0.2">
      <c r="Z223" s="667">
        <v>12012205</v>
      </c>
      <c r="AA223" s="671"/>
    </row>
    <row r="224" spans="26:27" x14ac:dyDescent="0.2">
      <c r="Z224" s="667">
        <v>12013001</v>
      </c>
      <c r="AA224" s="671"/>
    </row>
    <row r="225" spans="26:27" x14ac:dyDescent="0.2">
      <c r="Z225" s="667">
        <v>12013005</v>
      </c>
      <c r="AA225" s="671"/>
    </row>
    <row r="226" spans="26:27" x14ac:dyDescent="0.2">
      <c r="Z226" s="667">
        <v>12013101</v>
      </c>
      <c r="AA226" s="671"/>
    </row>
    <row r="227" spans="26:27" x14ac:dyDescent="0.2">
      <c r="Z227" s="667">
        <v>12013105</v>
      </c>
      <c r="AA227" s="671"/>
    </row>
    <row r="228" spans="26:27" x14ac:dyDescent="0.2">
      <c r="Z228" s="667">
        <v>12013201</v>
      </c>
      <c r="AA228" s="671"/>
    </row>
    <row r="229" spans="26:27" x14ac:dyDescent="0.2">
      <c r="Z229" s="667">
        <v>12013205</v>
      </c>
      <c r="AA229" s="671"/>
    </row>
    <row r="230" spans="26:27" x14ac:dyDescent="0.2">
      <c r="Z230" s="667">
        <v>12014001</v>
      </c>
      <c r="AA230" s="671"/>
    </row>
    <row r="231" spans="26:27" x14ac:dyDescent="0.2">
      <c r="Z231" s="667">
        <v>12014005</v>
      </c>
      <c r="AA231" s="671"/>
    </row>
    <row r="232" spans="26:27" x14ac:dyDescent="0.2">
      <c r="Z232" s="667">
        <v>12014101</v>
      </c>
      <c r="AA232" s="671"/>
    </row>
    <row r="233" spans="26:27" x14ac:dyDescent="0.2">
      <c r="Z233" s="667">
        <v>12014105</v>
      </c>
      <c r="AA233" s="671"/>
    </row>
    <row r="234" spans="26:27" x14ac:dyDescent="0.2">
      <c r="Z234" s="667">
        <v>12014201</v>
      </c>
      <c r="AA234" s="671"/>
    </row>
    <row r="235" spans="26:27" x14ac:dyDescent="0.2">
      <c r="Z235" s="667">
        <v>12014205</v>
      </c>
      <c r="AA235" s="671"/>
    </row>
    <row r="236" spans="26:27" x14ac:dyDescent="0.2">
      <c r="Z236" s="667">
        <v>12015001</v>
      </c>
      <c r="AA236" s="671"/>
    </row>
    <row r="237" spans="26:27" x14ac:dyDescent="0.2">
      <c r="Z237" s="667">
        <v>12015005</v>
      </c>
      <c r="AA237" s="671"/>
    </row>
    <row r="238" spans="26:27" x14ac:dyDescent="0.2">
      <c r="Z238" s="667">
        <v>12015101</v>
      </c>
      <c r="AA238" s="671"/>
    </row>
    <row r="239" spans="26:27" x14ac:dyDescent="0.2">
      <c r="Z239" s="667">
        <v>12015105</v>
      </c>
      <c r="AA239" s="671"/>
    </row>
    <row r="240" spans="26:27" x14ac:dyDescent="0.2">
      <c r="Z240" s="667">
        <v>12015201</v>
      </c>
      <c r="AA240" s="671"/>
    </row>
    <row r="241" spans="26:27" x14ac:dyDescent="0.2">
      <c r="Z241" s="667">
        <v>12015205</v>
      </c>
      <c r="AA241" s="671"/>
    </row>
    <row r="242" spans="26:27" x14ac:dyDescent="0.2">
      <c r="Z242" s="667">
        <v>12101001</v>
      </c>
      <c r="AA242" s="671"/>
    </row>
    <row r="243" spans="26:27" x14ac:dyDescent="0.2">
      <c r="Z243" s="667">
        <v>12101005</v>
      </c>
      <c r="AA243" s="671"/>
    </row>
    <row r="244" spans="26:27" x14ac:dyDescent="0.2">
      <c r="Z244" s="667">
        <v>12101101</v>
      </c>
      <c r="AA244" s="671"/>
    </row>
    <row r="245" spans="26:27" x14ac:dyDescent="0.2">
      <c r="Z245" s="667">
        <v>12101105</v>
      </c>
      <c r="AA245" s="671"/>
    </row>
    <row r="246" spans="26:27" x14ac:dyDescent="0.2">
      <c r="Z246" s="667">
        <v>12101201</v>
      </c>
      <c r="AA246" s="671"/>
    </row>
    <row r="247" spans="26:27" x14ac:dyDescent="0.2">
      <c r="Z247" s="667">
        <v>12101205</v>
      </c>
      <c r="AA247" s="671"/>
    </row>
    <row r="248" spans="26:27" x14ac:dyDescent="0.2">
      <c r="Z248" s="667">
        <v>12102001</v>
      </c>
      <c r="AA248" s="671"/>
    </row>
    <row r="249" spans="26:27" x14ac:dyDescent="0.2">
      <c r="Z249" s="667">
        <v>12102005</v>
      </c>
      <c r="AA249" s="671"/>
    </row>
    <row r="250" spans="26:27" x14ac:dyDescent="0.2">
      <c r="Z250" s="667">
        <v>12102101</v>
      </c>
      <c r="AA250" s="671"/>
    </row>
    <row r="251" spans="26:27" x14ac:dyDescent="0.2">
      <c r="Z251" s="667">
        <v>12102105</v>
      </c>
      <c r="AA251" s="671"/>
    </row>
    <row r="252" spans="26:27" x14ac:dyDescent="0.2">
      <c r="Z252" s="667">
        <v>12102201</v>
      </c>
      <c r="AA252" s="671"/>
    </row>
    <row r="253" spans="26:27" x14ac:dyDescent="0.2">
      <c r="Z253" s="667">
        <v>12102205</v>
      </c>
      <c r="AA253" s="671"/>
    </row>
    <row r="254" spans="26:27" x14ac:dyDescent="0.2">
      <c r="Z254" s="667">
        <v>12103001</v>
      </c>
      <c r="AA254" s="671"/>
    </row>
    <row r="255" spans="26:27" x14ac:dyDescent="0.2">
      <c r="Z255" s="667">
        <v>12103005</v>
      </c>
      <c r="AA255" s="671"/>
    </row>
    <row r="256" spans="26:27" x14ac:dyDescent="0.2">
      <c r="Z256" s="667">
        <v>12103101</v>
      </c>
      <c r="AA256" s="671"/>
    </row>
    <row r="257" spans="26:27" x14ac:dyDescent="0.2">
      <c r="Z257" s="667">
        <v>12103105</v>
      </c>
      <c r="AA257" s="671"/>
    </row>
    <row r="258" spans="26:27" x14ac:dyDescent="0.2">
      <c r="Z258" s="667">
        <v>12103201</v>
      </c>
      <c r="AA258" s="671"/>
    </row>
    <row r="259" spans="26:27" x14ac:dyDescent="0.2">
      <c r="Z259" s="667">
        <v>12103205</v>
      </c>
      <c r="AA259" s="671"/>
    </row>
    <row r="260" spans="26:27" x14ac:dyDescent="0.2">
      <c r="Z260" s="667">
        <v>12104001</v>
      </c>
      <c r="AA260" s="671"/>
    </row>
    <row r="261" spans="26:27" x14ac:dyDescent="0.2">
      <c r="Z261" s="667">
        <v>12104005</v>
      </c>
      <c r="AA261" s="671"/>
    </row>
    <row r="262" spans="26:27" x14ac:dyDescent="0.2">
      <c r="Z262" s="667">
        <v>12104101</v>
      </c>
      <c r="AA262" s="671"/>
    </row>
    <row r="263" spans="26:27" x14ac:dyDescent="0.2">
      <c r="Z263" s="667">
        <v>12104105</v>
      </c>
      <c r="AA263" s="671"/>
    </row>
    <row r="264" spans="26:27" x14ac:dyDescent="0.2">
      <c r="Z264" s="667">
        <v>12104201</v>
      </c>
      <c r="AA264" s="671"/>
    </row>
    <row r="265" spans="26:27" x14ac:dyDescent="0.2">
      <c r="Z265" s="667">
        <v>12104205</v>
      </c>
      <c r="AA265" s="671"/>
    </row>
    <row r="266" spans="26:27" x14ac:dyDescent="0.2">
      <c r="Z266" s="667">
        <v>12105001</v>
      </c>
      <c r="AA266" s="671"/>
    </row>
    <row r="267" spans="26:27" x14ac:dyDescent="0.2">
      <c r="Z267" s="667">
        <v>12105005</v>
      </c>
      <c r="AA267" s="671"/>
    </row>
    <row r="268" spans="26:27" x14ac:dyDescent="0.2">
      <c r="Z268" s="667">
        <v>12105101</v>
      </c>
      <c r="AA268" s="671"/>
    </row>
    <row r="269" spans="26:27" x14ac:dyDescent="0.2">
      <c r="Z269" s="667">
        <v>12105105</v>
      </c>
      <c r="AA269" s="671"/>
    </row>
    <row r="270" spans="26:27" x14ac:dyDescent="0.2">
      <c r="Z270" s="667">
        <v>12105201</v>
      </c>
      <c r="AA270" s="671"/>
    </row>
    <row r="271" spans="26:27" x14ac:dyDescent="0.2">
      <c r="Z271" s="667">
        <v>12105205</v>
      </c>
      <c r="AA271" s="671"/>
    </row>
    <row r="272" spans="26:27" x14ac:dyDescent="0.2">
      <c r="Z272" s="672">
        <v>12111001</v>
      </c>
      <c r="AA272" s="671"/>
    </row>
    <row r="273" spans="26:27" x14ac:dyDescent="0.2">
      <c r="Z273" s="672">
        <v>12111005</v>
      </c>
      <c r="AA273" s="671"/>
    </row>
    <row r="274" spans="26:27" x14ac:dyDescent="0.2">
      <c r="Z274" s="667">
        <v>12111101</v>
      </c>
      <c r="AA274" s="671"/>
    </row>
    <row r="275" spans="26:27" x14ac:dyDescent="0.2">
      <c r="Z275" s="667">
        <v>12111105</v>
      </c>
      <c r="AA275" s="671"/>
    </row>
    <row r="276" spans="26:27" x14ac:dyDescent="0.2">
      <c r="Z276" s="667">
        <v>12111201</v>
      </c>
      <c r="AA276" s="671"/>
    </row>
    <row r="277" spans="26:27" x14ac:dyDescent="0.2">
      <c r="Z277" s="667">
        <v>12111205</v>
      </c>
      <c r="AA277" s="671"/>
    </row>
    <row r="278" spans="26:27" x14ac:dyDescent="0.2">
      <c r="Z278" s="667">
        <v>12112001</v>
      </c>
      <c r="AA278" s="671"/>
    </row>
    <row r="279" spans="26:27" x14ac:dyDescent="0.2">
      <c r="Z279" s="667">
        <v>12112005</v>
      </c>
      <c r="AA279" s="671"/>
    </row>
    <row r="280" spans="26:27" x14ac:dyDescent="0.2">
      <c r="Z280" s="667">
        <v>12112101</v>
      </c>
      <c r="AA280" s="671"/>
    </row>
    <row r="281" spans="26:27" x14ac:dyDescent="0.2">
      <c r="Z281" s="667">
        <v>12112105</v>
      </c>
      <c r="AA281" s="671"/>
    </row>
    <row r="282" spans="26:27" x14ac:dyDescent="0.2">
      <c r="Z282" s="667">
        <v>12112201</v>
      </c>
      <c r="AA282" s="671"/>
    </row>
    <row r="283" spans="26:27" x14ac:dyDescent="0.2">
      <c r="Z283" s="667">
        <v>12112205</v>
      </c>
      <c r="AA283" s="671"/>
    </row>
    <row r="284" spans="26:27" x14ac:dyDescent="0.2">
      <c r="Z284" s="667">
        <v>12113001</v>
      </c>
      <c r="AA284" s="671"/>
    </row>
    <row r="285" spans="26:27" x14ac:dyDescent="0.2">
      <c r="Z285" s="667">
        <v>12113005</v>
      </c>
      <c r="AA285" s="671"/>
    </row>
    <row r="286" spans="26:27" x14ac:dyDescent="0.2">
      <c r="Z286" s="667">
        <v>12113101</v>
      </c>
      <c r="AA286" s="671"/>
    </row>
    <row r="287" spans="26:27" x14ac:dyDescent="0.2">
      <c r="Z287" s="667">
        <v>12113105</v>
      </c>
      <c r="AA287" s="671"/>
    </row>
    <row r="288" spans="26:27" x14ac:dyDescent="0.2">
      <c r="Z288" s="667">
        <v>12113201</v>
      </c>
      <c r="AA288" s="671"/>
    </row>
    <row r="289" spans="26:27" x14ac:dyDescent="0.2">
      <c r="Z289" s="667">
        <v>12113205</v>
      </c>
      <c r="AA289" s="671"/>
    </row>
    <row r="290" spans="26:27" x14ac:dyDescent="0.2">
      <c r="Z290" s="667">
        <v>12114001</v>
      </c>
      <c r="AA290" s="671"/>
    </row>
    <row r="291" spans="26:27" x14ac:dyDescent="0.2">
      <c r="Z291" s="667">
        <v>12114005</v>
      </c>
      <c r="AA291" s="671"/>
    </row>
    <row r="292" spans="26:27" x14ac:dyDescent="0.2">
      <c r="Z292" s="667">
        <v>12114101</v>
      </c>
      <c r="AA292" s="671"/>
    </row>
    <row r="293" spans="26:27" x14ac:dyDescent="0.2">
      <c r="Z293" s="667">
        <v>12114105</v>
      </c>
      <c r="AA293" s="671"/>
    </row>
    <row r="294" spans="26:27" x14ac:dyDescent="0.2">
      <c r="Z294" s="667">
        <v>12114201</v>
      </c>
      <c r="AA294" s="671"/>
    </row>
    <row r="295" spans="26:27" x14ac:dyDescent="0.2">
      <c r="Z295" s="667">
        <v>12114205</v>
      </c>
      <c r="AA295" s="671"/>
    </row>
    <row r="296" spans="26:27" x14ac:dyDescent="0.2">
      <c r="Z296" s="667">
        <v>12115001</v>
      </c>
      <c r="AA296" s="671"/>
    </row>
    <row r="297" spans="26:27" x14ac:dyDescent="0.2">
      <c r="Z297" s="667">
        <v>12115005</v>
      </c>
      <c r="AA297" s="671"/>
    </row>
    <row r="298" spans="26:27" x14ac:dyDescent="0.2">
      <c r="Z298" s="667">
        <v>12115101</v>
      </c>
      <c r="AA298" s="671"/>
    </row>
    <row r="299" spans="26:27" x14ac:dyDescent="0.2">
      <c r="Z299" s="667">
        <v>12115105</v>
      </c>
      <c r="AA299" s="671"/>
    </row>
    <row r="300" spans="26:27" x14ac:dyDescent="0.2">
      <c r="Z300" s="667">
        <v>12115201</v>
      </c>
      <c r="AA300" s="671"/>
    </row>
    <row r="301" spans="26:27" x14ac:dyDescent="0.2">
      <c r="Z301" s="667">
        <v>12115205</v>
      </c>
      <c r="AA301" s="671"/>
    </row>
    <row r="302" spans="26:27" x14ac:dyDescent="0.2">
      <c r="Z302" s="667">
        <v>12201001</v>
      </c>
      <c r="AA302" s="671"/>
    </row>
    <row r="303" spans="26:27" x14ac:dyDescent="0.2">
      <c r="Z303" s="667">
        <v>12201005</v>
      </c>
      <c r="AA303" s="671"/>
    </row>
    <row r="304" spans="26:27" x14ac:dyDescent="0.2">
      <c r="Z304" s="667">
        <v>12201101</v>
      </c>
      <c r="AA304" s="671"/>
    </row>
    <row r="305" spans="26:27" x14ac:dyDescent="0.2">
      <c r="Z305" s="667">
        <v>12201105</v>
      </c>
      <c r="AA305" s="671"/>
    </row>
    <row r="306" spans="26:27" x14ac:dyDescent="0.2">
      <c r="Z306" s="667">
        <v>12201201</v>
      </c>
      <c r="AA306" s="671"/>
    </row>
    <row r="307" spans="26:27" x14ac:dyDescent="0.2">
      <c r="Z307" s="667">
        <v>12201205</v>
      </c>
      <c r="AA307" s="671"/>
    </row>
    <row r="308" spans="26:27" x14ac:dyDescent="0.2">
      <c r="Z308" s="667">
        <v>12202001</v>
      </c>
      <c r="AA308" s="671"/>
    </row>
    <row r="309" spans="26:27" x14ac:dyDescent="0.2">
      <c r="Z309" s="667">
        <v>12202005</v>
      </c>
      <c r="AA309" s="671"/>
    </row>
    <row r="310" spans="26:27" x14ac:dyDescent="0.2">
      <c r="Z310" s="667">
        <v>12202101</v>
      </c>
      <c r="AA310" s="671"/>
    </row>
    <row r="311" spans="26:27" x14ac:dyDescent="0.2">
      <c r="Z311" s="667">
        <v>12202105</v>
      </c>
      <c r="AA311" s="671"/>
    </row>
    <row r="312" spans="26:27" x14ac:dyDescent="0.2">
      <c r="Z312" s="667">
        <v>12202201</v>
      </c>
      <c r="AA312" s="671"/>
    </row>
    <row r="313" spans="26:27" x14ac:dyDescent="0.2">
      <c r="Z313" s="667">
        <v>12202205</v>
      </c>
      <c r="AA313" s="671"/>
    </row>
    <row r="314" spans="26:27" x14ac:dyDescent="0.2">
      <c r="Z314" s="667">
        <v>12203001</v>
      </c>
      <c r="AA314" s="671"/>
    </row>
    <row r="315" spans="26:27" x14ac:dyDescent="0.2">
      <c r="Z315" s="667">
        <v>12203005</v>
      </c>
      <c r="AA315" s="671"/>
    </row>
    <row r="316" spans="26:27" x14ac:dyDescent="0.2">
      <c r="Z316" s="667">
        <v>12203101</v>
      </c>
      <c r="AA316" s="671"/>
    </row>
    <row r="317" spans="26:27" x14ac:dyDescent="0.2">
      <c r="Z317" s="667">
        <v>12203105</v>
      </c>
      <c r="AA317" s="671"/>
    </row>
    <row r="318" spans="26:27" x14ac:dyDescent="0.2">
      <c r="Z318" s="667">
        <v>12203201</v>
      </c>
      <c r="AA318" s="671"/>
    </row>
    <row r="319" spans="26:27" x14ac:dyDescent="0.2">
      <c r="Z319" s="667">
        <v>12203205</v>
      </c>
      <c r="AA319" s="671"/>
    </row>
    <row r="320" spans="26:27" x14ac:dyDescent="0.2">
      <c r="Z320" s="667">
        <v>12204001</v>
      </c>
      <c r="AA320" s="671"/>
    </row>
    <row r="321" spans="26:27" x14ac:dyDescent="0.2">
      <c r="Z321" s="667">
        <v>12204005</v>
      </c>
      <c r="AA321" s="671"/>
    </row>
    <row r="322" spans="26:27" x14ac:dyDescent="0.2">
      <c r="Z322" s="667">
        <v>12204101</v>
      </c>
      <c r="AA322" s="671"/>
    </row>
    <row r="323" spans="26:27" x14ac:dyDescent="0.2">
      <c r="Z323" s="667">
        <v>12204105</v>
      </c>
      <c r="AA323" s="671"/>
    </row>
    <row r="324" spans="26:27" x14ac:dyDescent="0.2">
      <c r="Z324" s="667">
        <v>12204201</v>
      </c>
      <c r="AA324" s="671"/>
    </row>
    <row r="325" spans="26:27" x14ac:dyDescent="0.2">
      <c r="Z325" s="667">
        <v>12204205</v>
      </c>
      <c r="AA325" s="671"/>
    </row>
    <row r="326" spans="26:27" x14ac:dyDescent="0.2">
      <c r="Z326" s="667">
        <v>12205001</v>
      </c>
      <c r="AA326" s="671"/>
    </row>
    <row r="327" spans="26:27" x14ac:dyDescent="0.2">
      <c r="Z327" s="667">
        <v>12205005</v>
      </c>
      <c r="AA327" s="671"/>
    </row>
    <row r="328" spans="26:27" x14ac:dyDescent="0.2">
      <c r="Z328" s="667">
        <v>12205101</v>
      </c>
      <c r="AA328" s="671"/>
    </row>
    <row r="329" spans="26:27" x14ac:dyDescent="0.2">
      <c r="Z329" s="667">
        <v>12205105</v>
      </c>
      <c r="AA329" s="671"/>
    </row>
    <row r="330" spans="26:27" x14ac:dyDescent="0.2">
      <c r="Z330" s="667">
        <v>12205201</v>
      </c>
      <c r="AA330" s="671"/>
    </row>
    <row r="331" spans="26:27" x14ac:dyDescent="0.2">
      <c r="Z331" s="667">
        <v>12205205</v>
      </c>
      <c r="AA331" s="671"/>
    </row>
    <row r="332" spans="26:27" x14ac:dyDescent="0.2">
      <c r="Z332" s="672">
        <v>12211001</v>
      </c>
      <c r="AA332" s="671"/>
    </row>
    <row r="333" spans="26:27" x14ac:dyDescent="0.2">
      <c r="Z333" s="672">
        <v>12211005</v>
      </c>
      <c r="AA333" s="671"/>
    </row>
    <row r="334" spans="26:27" x14ac:dyDescent="0.2">
      <c r="Z334" s="667">
        <v>12211101</v>
      </c>
      <c r="AA334" s="671"/>
    </row>
    <row r="335" spans="26:27" x14ac:dyDescent="0.2">
      <c r="Z335" s="667">
        <v>12211105</v>
      </c>
      <c r="AA335" s="671"/>
    </row>
    <row r="336" spans="26:27" x14ac:dyDescent="0.2">
      <c r="Z336" s="667">
        <v>12211201</v>
      </c>
      <c r="AA336" s="671"/>
    </row>
    <row r="337" spans="26:27" x14ac:dyDescent="0.2">
      <c r="Z337" s="667">
        <v>12211205</v>
      </c>
      <c r="AA337" s="671"/>
    </row>
    <row r="338" spans="26:27" x14ac:dyDescent="0.2">
      <c r="Z338" s="667">
        <v>12212001</v>
      </c>
      <c r="AA338" s="671"/>
    </row>
    <row r="339" spans="26:27" x14ac:dyDescent="0.2">
      <c r="Z339" s="667">
        <v>12212005</v>
      </c>
      <c r="AA339" s="671"/>
    </row>
    <row r="340" spans="26:27" x14ac:dyDescent="0.2">
      <c r="Z340" s="667">
        <v>12212101</v>
      </c>
      <c r="AA340" s="671"/>
    </row>
    <row r="341" spans="26:27" x14ac:dyDescent="0.2">
      <c r="Z341" s="667">
        <v>12212105</v>
      </c>
      <c r="AA341" s="671"/>
    </row>
    <row r="342" spans="26:27" x14ac:dyDescent="0.2">
      <c r="Z342" s="667">
        <v>12212201</v>
      </c>
      <c r="AA342" s="671"/>
    </row>
    <row r="343" spans="26:27" x14ac:dyDescent="0.2">
      <c r="Z343" s="667">
        <v>12212205</v>
      </c>
      <c r="AA343" s="671"/>
    </row>
    <row r="344" spans="26:27" x14ac:dyDescent="0.2">
      <c r="Z344" s="667">
        <v>12213001</v>
      </c>
      <c r="AA344" s="671"/>
    </row>
    <row r="345" spans="26:27" x14ac:dyDescent="0.2">
      <c r="Z345" s="667">
        <v>12213005</v>
      </c>
      <c r="AA345" s="671"/>
    </row>
    <row r="346" spans="26:27" x14ac:dyDescent="0.2">
      <c r="Z346" s="667">
        <v>12213101</v>
      </c>
      <c r="AA346" s="671"/>
    </row>
    <row r="347" spans="26:27" x14ac:dyDescent="0.2">
      <c r="Z347" s="667">
        <v>12213105</v>
      </c>
      <c r="AA347" s="671"/>
    </row>
    <row r="348" spans="26:27" x14ac:dyDescent="0.2">
      <c r="Z348" s="667">
        <v>12213201</v>
      </c>
      <c r="AA348" s="671"/>
    </row>
    <row r="349" spans="26:27" x14ac:dyDescent="0.2">
      <c r="Z349" s="667">
        <v>12213205</v>
      </c>
      <c r="AA349" s="671"/>
    </row>
    <row r="350" spans="26:27" x14ac:dyDescent="0.2">
      <c r="Z350" s="667">
        <v>12214001</v>
      </c>
      <c r="AA350" s="671"/>
    </row>
    <row r="351" spans="26:27" x14ac:dyDescent="0.2">
      <c r="Z351" s="667">
        <v>12214005</v>
      </c>
      <c r="AA351" s="671"/>
    </row>
    <row r="352" spans="26:27" x14ac:dyDescent="0.2">
      <c r="Z352" s="667">
        <v>12214101</v>
      </c>
      <c r="AA352" s="671"/>
    </row>
    <row r="353" spans="26:27" x14ac:dyDescent="0.2">
      <c r="Z353" s="667">
        <v>12214105</v>
      </c>
      <c r="AA353" s="671"/>
    </row>
    <row r="354" spans="26:27" x14ac:dyDescent="0.2">
      <c r="Z354" s="667">
        <v>12214201</v>
      </c>
      <c r="AA354" s="671"/>
    </row>
    <row r="355" spans="26:27" x14ac:dyDescent="0.2">
      <c r="Z355" s="667">
        <v>12214205</v>
      </c>
      <c r="AA355" s="671"/>
    </row>
    <row r="356" spans="26:27" x14ac:dyDescent="0.2">
      <c r="Z356" s="667">
        <v>12215001</v>
      </c>
      <c r="AA356" s="671"/>
    </row>
    <row r="357" spans="26:27" x14ac:dyDescent="0.2">
      <c r="Z357" s="667">
        <v>12215005</v>
      </c>
      <c r="AA357" s="671"/>
    </row>
    <row r="358" spans="26:27" x14ac:dyDescent="0.2">
      <c r="Z358" s="667">
        <v>12215101</v>
      </c>
      <c r="AA358" s="671"/>
    </row>
    <row r="359" spans="26:27" x14ac:dyDescent="0.2">
      <c r="Z359" s="667">
        <v>12215105</v>
      </c>
      <c r="AA359" s="671"/>
    </row>
    <row r="360" spans="26:27" x14ac:dyDescent="0.2">
      <c r="Z360" s="667">
        <v>12215201</v>
      </c>
      <c r="AA360" s="671"/>
    </row>
    <row r="361" spans="26:27" x14ac:dyDescent="0.2">
      <c r="Z361" s="667">
        <v>12215205</v>
      </c>
      <c r="AA361" s="671"/>
    </row>
    <row r="362" spans="26:27" x14ac:dyDescent="0.2">
      <c r="Z362" s="667">
        <v>21001001</v>
      </c>
      <c r="AA362" s="671"/>
    </row>
    <row r="363" spans="26:27" x14ac:dyDescent="0.2">
      <c r="Z363" s="667">
        <v>21001005</v>
      </c>
      <c r="AA363" s="671"/>
    </row>
    <row r="364" spans="26:27" x14ac:dyDescent="0.2">
      <c r="Z364" s="667">
        <v>21001101</v>
      </c>
      <c r="AA364" s="671"/>
    </row>
    <row r="365" spans="26:27" x14ac:dyDescent="0.2">
      <c r="Z365" s="667">
        <v>21001105</v>
      </c>
      <c r="AA365" s="671"/>
    </row>
    <row r="366" spans="26:27" x14ac:dyDescent="0.2">
      <c r="Z366" s="667">
        <v>21001201</v>
      </c>
      <c r="AA366" s="671"/>
    </row>
    <row r="367" spans="26:27" x14ac:dyDescent="0.2">
      <c r="Z367" s="667">
        <v>21001205</v>
      </c>
      <c r="AA367" s="671"/>
    </row>
    <row r="368" spans="26:27" x14ac:dyDescent="0.2">
      <c r="Z368" s="667">
        <v>21002001</v>
      </c>
      <c r="AA368" s="671"/>
    </row>
    <row r="369" spans="26:27" x14ac:dyDescent="0.2">
      <c r="Z369" s="667">
        <v>21002005</v>
      </c>
      <c r="AA369" s="671"/>
    </row>
    <row r="370" spans="26:27" x14ac:dyDescent="0.2">
      <c r="Z370" s="667">
        <v>21002101</v>
      </c>
      <c r="AA370" s="671"/>
    </row>
    <row r="371" spans="26:27" x14ac:dyDescent="0.2">
      <c r="Z371" s="667">
        <v>21002105</v>
      </c>
      <c r="AA371" s="671"/>
    </row>
    <row r="372" spans="26:27" x14ac:dyDescent="0.2">
      <c r="Z372" s="667">
        <v>21002201</v>
      </c>
      <c r="AA372" s="671"/>
    </row>
    <row r="373" spans="26:27" x14ac:dyDescent="0.2">
      <c r="Z373" s="667">
        <v>21002205</v>
      </c>
      <c r="AA373" s="671"/>
    </row>
    <row r="374" spans="26:27" x14ac:dyDescent="0.2">
      <c r="Z374" s="667">
        <v>21003001</v>
      </c>
      <c r="AA374" s="671"/>
    </row>
    <row r="375" spans="26:27" x14ac:dyDescent="0.2">
      <c r="Z375" s="667">
        <v>21003005</v>
      </c>
      <c r="AA375" s="671"/>
    </row>
    <row r="376" spans="26:27" x14ac:dyDescent="0.2">
      <c r="Z376" s="667">
        <v>21003101</v>
      </c>
      <c r="AA376" s="671"/>
    </row>
    <row r="377" spans="26:27" x14ac:dyDescent="0.2">
      <c r="Z377" s="667">
        <v>21003105</v>
      </c>
      <c r="AA377" s="671"/>
    </row>
    <row r="378" spans="26:27" x14ac:dyDescent="0.2">
      <c r="Z378" s="667">
        <v>21003201</v>
      </c>
      <c r="AA378" s="671"/>
    </row>
    <row r="379" spans="26:27" x14ac:dyDescent="0.2">
      <c r="Z379" s="667">
        <v>21003205</v>
      </c>
      <c r="AA379" s="671"/>
    </row>
    <row r="380" spans="26:27" x14ac:dyDescent="0.2">
      <c r="Z380" s="667">
        <v>21004001</v>
      </c>
      <c r="AA380" s="671"/>
    </row>
    <row r="381" spans="26:27" x14ac:dyDescent="0.2">
      <c r="Z381" s="667">
        <v>21004005</v>
      </c>
      <c r="AA381" s="671"/>
    </row>
    <row r="382" spans="26:27" x14ac:dyDescent="0.2">
      <c r="Z382" s="667">
        <v>21004101</v>
      </c>
      <c r="AA382" s="671"/>
    </row>
    <row r="383" spans="26:27" x14ac:dyDescent="0.2">
      <c r="Z383" s="667">
        <v>21004105</v>
      </c>
      <c r="AA383" s="671"/>
    </row>
    <row r="384" spans="26:27" x14ac:dyDescent="0.2">
      <c r="Z384" s="667">
        <v>21004201</v>
      </c>
      <c r="AA384" s="671"/>
    </row>
    <row r="385" spans="26:27" x14ac:dyDescent="0.2">
      <c r="Z385" s="667">
        <v>21004205</v>
      </c>
      <c r="AA385" s="671"/>
    </row>
    <row r="386" spans="26:27" x14ac:dyDescent="0.2">
      <c r="Z386" s="667">
        <v>21005001</v>
      </c>
      <c r="AA386" s="671"/>
    </row>
    <row r="387" spans="26:27" x14ac:dyDescent="0.2">
      <c r="Z387" s="667">
        <v>21005005</v>
      </c>
      <c r="AA387" s="671"/>
    </row>
    <row r="388" spans="26:27" x14ac:dyDescent="0.2">
      <c r="Z388" s="667">
        <v>21005101</v>
      </c>
      <c r="AA388" s="671"/>
    </row>
    <row r="389" spans="26:27" x14ac:dyDescent="0.2">
      <c r="Z389" s="667">
        <v>21005105</v>
      </c>
      <c r="AA389" s="671"/>
    </row>
    <row r="390" spans="26:27" x14ac:dyDescent="0.2">
      <c r="Z390" s="667">
        <v>21005201</v>
      </c>
      <c r="AA390" s="671"/>
    </row>
    <row r="391" spans="26:27" x14ac:dyDescent="0.2">
      <c r="Z391" s="667">
        <v>21005205</v>
      </c>
      <c r="AA391" s="671"/>
    </row>
    <row r="392" spans="26:27" x14ac:dyDescent="0.2">
      <c r="Z392" s="667">
        <v>21011001</v>
      </c>
      <c r="AA392" s="671"/>
    </row>
    <row r="393" spans="26:27" x14ac:dyDescent="0.2">
      <c r="Z393" s="667">
        <v>21011005</v>
      </c>
      <c r="AA393" s="671"/>
    </row>
    <row r="394" spans="26:27" x14ac:dyDescent="0.2">
      <c r="Z394" s="667">
        <v>21011101</v>
      </c>
      <c r="AA394" s="671"/>
    </row>
    <row r="395" spans="26:27" x14ac:dyDescent="0.2">
      <c r="Z395" s="667">
        <v>21011105</v>
      </c>
      <c r="AA395" s="671"/>
    </row>
    <row r="396" spans="26:27" x14ac:dyDescent="0.2">
      <c r="Z396" s="667">
        <v>21011201</v>
      </c>
      <c r="AA396" s="671"/>
    </row>
    <row r="397" spans="26:27" x14ac:dyDescent="0.2">
      <c r="Z397" s="667">
        <v>21011205</v>
      </c>
      <c r="AA397" s="671"/>
    </row>
    <row r="398" spans="26:27" x14ac:dyDescent="0.2">
      <c r="Z398" s="667">
        <v>21012001</v>
      </c>
      <c r="AA398" s="671"/>
    </row>
    <row r="399" spans="26:27" x14ac:dyDescent="0.2">
      <c r="Z399" s="667">
        <v>21012005</v>
      </c>
      <c r="AA399" s="671"/>
    </row>
    <row r="400" spans="26:27" x14ac:dyDescent="0.2">
      <c r="Z400" s="667">
        <v>21012101</v>
      </c>
      <c r="AA400" s="671"/>
    </row>
    <row r="401" spans="26:27" x14ac:dyDescent="0.2">
      <c r="Z401" s="667">
        <v>21012105</v>
      </c>
      <c r="AA401" s="671"/>
    </row>
    <row r="402" spans="26:27" x14ac:dyDescent="0.2">
      <c r="Z402" s="667">
        <v>21012201</v>
      </c>
      <c r="AA402" s="671"/>
    </row>
    <row r="403" spans="26:27" x14ac:dyDescent="0.2">
      <c r="Z403" s="667">
        <v>21012205</v>
      </c>
      <c r="AA403" s="671"/>
    </row>
    <row r="404" spans="26:27" x14ac:dyDescent="0.2">
      <c r="Z404" s="667">
        <v>21013001</v>
      </c>
      <c r="AA404" s="671"/>
    </row>
    <row r="405" spans="26:27" x14ac:dyDescent="0.2">
      <c r="Z405" s="667">
        <v>21013005</v>
      </c>
      <c r="AA405" s="671"/>
    </row>
    <row r="406" spans="26:27" x14ac:dyDescent="0.2">
      <c r="Z406" s="667">
        <v>21013101</v>
      </c>
      <c r="AA406" s="671"/>
    </row>
    <row r="407" spans="26:27" x14ac:dyDescent="0.2">
      <c r="Z407" s="667">
        <v>21013105</v>
      </c>
      <c r="AA407" s="671"/>
    </row>
    <row r="408" spans="26:27" x14ac:dyDescent="0.2">
      <c r="Z408" s="667">
        <v>21013201</v>
      </c>
      <c r="AA408" s="671"/>
    </row>
    <row r="409" spans="26:27" x14ac:dyDescent="0.2">
      <c r="Z409" s="667">
        <v>21013205</v>
      </c>
      <c r="AA409" s="671"/>
    </row>
    <row r="410" spans="26:27" x14ac:dyDescent="0.2">
      <c r="Z410" s="667">
        <v>21014001</v>
      </c>
      <c r="AA410" s="671"/>
    </row>
    <row r="411" spans="26:27" x14ac:dyDescent="0.2">
      <c r="Z411" s="667">
        <v>21014005</v>
      </c>
      <c r="AA411" s="671"/>
    </row>
    <row r="412" spans="26:27" x14ac:dyDescent="0.2">
      <c r="Z412" s="667">
        <v>21014101</v>
      </c>
      <c r="AA412" s="671"/>
    </row>
    <row r="413" spans="26:27" x14ac:dyDescent="0.2">
      <c r="Z413" s="667">
        <v>21014105</v>
      </c>
      <c r="AA413" s="671"/>
    </row>
    <row r="414" spans="26:27" x14ac:dyDescent="0.2">
      <c r="Z414" s="667">
        <v>21014201</v>
      </c>
      <c r="AA414" s="671"/>
    </row>
    <row r="415" spans="26:27" x14ac:dyDescent="0.2">
      <c r="Z415" s="667">
        <v>21014205</v>
      </c>
      <c r="AA415" s="671"/>
    </row>
    <row r="416" spans="26:27" x14ac:dyDescent="0.2">
      <c r="Z416" s="667">
        <v>21015001</v>
      </c>
      <c r="AA416" s="671"/>
    </row>
    <row r="417" spans="26:27" x14ac:dyDescent="0.2">
      <c r="Z417" s="667">
        <v>21015005</v>
      </c>
      <c r="AA417" s="671"/>
    </row>
    <row r="418" spans="26:27" x14ac:dyDescent="0.2">
      <c r="Z418" s="667">
        <v>21015101</v>
      </c>
      <c r="AA418" s="671"/>
    </row>
    <row r="419" spans="26:27" x14ac:dyDescent="0.2">
      <c r="Z419" s="667">
        <v>21015105</v>
      </c>
      <c r="AA419" s="671"/>
    </row>
    <row r="420" spans="26:27" x14ac:dyDescent="0.2">
      <c r="Z420" s="667">
        <v>21015201</v>
      </c>
      <c r="AA420" s="671"/>
    </row>
    <row r="421" spans="26:27" x14ac:dyDescent="0.2">
      <c r="Z421" s="667">
        <v>21015205</v>
      </c>
      <c r="AA421" s="671"/>
    </row>
    <row r="422" spans="26:27" x14ac:dyDescent="0.2">
      <c r="Z422" s="667">
        <v>21101001</v>
      </c>
      <c r="AA422" s="671"/>
    </row>
    <row r="423" spans="26:27" x14ac:dyDescent="0.2">
      <c r="Z423" s="667">
        <v>21101005</v>
      </c>
      <c r="AA423" s="671"/>
    </row>
    <row r="424" spans="26:27" x14ac:dyDescent="0.2">
      <c r="Z424" s="667">
        <v>21101101</v>
      </c>
      <c r="AA424" s="671"/>
    </row>
    <row r="425" spans="26:27" x14ac:dyDescent="0.2">
      <c r="Z425" s="667">
        <v>21101105</v>
      </c>
      <c r="AA425" s="671"/>
    </row>
    <row r="426" spans="26:27" x14ac:dyDescent="0.2">
      <c r="Z426" s="667">
        <v>21101201</v>
      </c>
      <c r="AA426" s="671"/>
    </row>
    <row r="427" spans="26:27" x14ac:dyDescent="0.2">
      <c r="Z427" s="667">
        <v>21101205</v>
      </c>
      <c r="AA427" s="671"/>
    </row>
    <row r="428" spans="26:27" x14ac:dyDescent="0.2">
      <c r="Z428" s="667">
        <v>21102001</v>
      </c>
      <c r="AA428" s="671"/>
    </row>
    <row r="429" spans="26:27" x14ac:dyDescent="0.2">
      <c r="Z429" s="667">
        <v>21102005</v>
      </c>
      <c r="AA429" s="671"/>
    </row>
    <row r="430" spans="26:27" x14ac:dyDescent="0.2">
      <c r="Z430" s="667">
        <v>21102101</v>
      </c>
      <c r="AA430" s="671"/>
    </row>
    <row r="431" spans="26:27" x14ac:dyDescent="0.2">
      <c r="Z431" s="667">
        <v>21102105</v>
      </c>
      <c r="AA431" s="671"/>
    </row>
    <row r="432" spans="26:27" x14ac:dyDescent="0.2">
      <c r="Z432" s="667">
        <v>21102201</v>
      </c>
      <c r="AA432" s="671"/>
    </row>
    <row r="433" spans="26:27" x14ac:dyDescent="0.2">
      <c r="Z433" s="667">
        <v>21102205</v>
      </c>
      <c r="AA433" s="671"/>
    </row>
    <row r="434" spans="26:27" x14ac:dyDescent="0.2">
      <c r="Z434" s="667">
        <v>21103001</v>
      </c>
      <c r="AA434" s="671"/>
    </row>
    <row r="435" spans="26:27" x14ac:dyDescent="0.2">
      <c r="Z435" s="667">
        <v>21103005</v>
      </c>
      <c r="AA435" s="671"/>
    </row>
    <row r="436" spans="26:27" x14ac:dyDescent="0.2">
      <c r="Z436" s="667">
        <v>21103101</v>
      </c>
      <c r="AA436" s="671"/>
    </row>
    <row r="437" spans="26:27" x14ac:dyDescent="0.2">
      <c r="Z437" s="667">
        <v>21103105</v>
      </c>
      <c r="AA437" s="671"/>
    </row>
    <row r="438" spans="26:27" x14ac:dyDescent="0.2">
      <c r="Z438" s="667">
        <v>21103201</v>
      </c>
      <c r="AA438" s="671"/>
    </row>
    <row r="439" spans="26:27" x14ac:dyDescent="0.2">
      <c r="Z439" s="667">
        <v>21103205</v>
      </c>
      <c r="AA439" s="671"/>
    </row>
    <row r="440" spans="26:27" x14ac:dyDescent="0.2">
      <c r="Z440" s="667">
        <v>21104001</v>
      </c>
      <c r="AA440" s="671"/>
    </row>
    <row r="441" spans="26:27" x14ac:dyDescent="0.2">
      <c r="Z441" s="667">
        <v>21104005</v>
      </c>
      <c r="AA441" s="671"/>
    </row>
    <row r="442" spans="26:27" x14ac:dyDescent="0.2">
      <c r="Z442" s="667">
        <v>21104101</v>
      </c>
      <c r="AA442" s="671"/>
    </row>
    <row r="443" spans="26:27" x14ac:dyDescent="0.2">
      <c r="Z443" s="667">
        <v>21104105</v>
      </c>
      <c r="AA443" s="671"/>
    </row>
    <row r="444" spans="26:27" x14ac:dyDescent="0.2">
      <c r="Z444" s="667">
        <v>21104201</v>
      </c>
      <c r="AA444" s="671"/>
    </row>
    <row r="445" spans="26:27" x14ac:dyDescent="0.2">
      <c r="Z445" s="667">
        <v>21104205</v>
      </c>
      <c r="AA445" s="671"/>
    </row>
    <row r="446" spans="26:27" x14ac:dyDescent="0.2">
      <c r="Z446" s="667">
        <v>21105001</v>
      </c>
      <c r="AA446" s="671"/>
    </row>
    <row r="447" spans="26:27" x14ac:dyDescent="0.2">
      <c r="Z447" s="667">
        <v>21105005</v>
      </c>
      <c r="AA447" s="671"/>
    </row>
    <row r="448" spans="26:27" x14ac:dyDescent="0.2">
      <c r="Z448" s="667">
        <v>21105101</v>
      </c>
      <c r="AA448" s="671"/>
    </row>
    <row r="449" spans="26:27" x14ac:dyDescent="0.2">
      <c r="Z449" s="667">
        <v>21105105</v>
      </c>
      <c r="AA449" s="671"/>
    </row>
    <row r="450" spans="26:27" x14ac:dyDescent="0.2">
      <c r="Z450" s="667">
        <v>21105201</v>
      </c>
      <c r="AA450" s="671"/>
    </row>
    <row r="451" spans="26:27" x14ac:dyDescent="0.2">
      <c r="Z451" s="667">
        <v>21105205</v>
      </c>
      <c r="AA451" s="671"/>
    </row>
    <row r="452" spans="26:27" x14ac:dyDescent="0.2">
      <c r="Z452" s="672">
        <v>21111001</v>
      </c>
      <c r="AA452" s="671"/>
    </row>
    <row r="453" spans="26:27" x14ac:dyDescent="0.2">
      <c r="Z453" s="672">
        <v>21111005</v>
      </c>
      <c r="AA453" s="671"/>
    </row>
    <row r="454" spans="26:27" x14ac:dyDescent="0.2">
      <c r="Z454" s="667">
        <v>21111101</v>
      </c>
      <c r="AA454" s="671"/>
    </row>
    <row r="455" spans="26:27" x14ac:dyDescent="0.2">
      <c r="Z455" s="667">
        <v>21111105</v>
      </c>
      <c r="AA455" s="671"/>
    </row>
    <row r="456" spans="26:27" x14ac:dyDescent="0.2">
      <c r="Z456" s="667">
        <v>21111201</v>
      </c>
      <c r="AA456" s="671"/>
    </row>
    <row r="457" spans="26:27" x14ac:dyDescent="0.2">
      <c r="Z457" s="667">
        <v>21111205</v>
      </c>
      <c r="AA457" s="671"/>
    </row>
    <row r="458" spans="26:27" x14ac:dyDescent="0.2">
      <c r="Z458" s="667">
        <v>21112001</v>
      </c>
      <c r="AA458" s="671"/>
    </row>
    <row r="459" spans="26:27" x14ac:dyDescent="0.2">
      <c r="Z459" s="667">
        <v>21112005</v>
      </c>
      <c r="AA459" s="671"/>
    </row>
    <row r="460" spans="26:27" x14ac:dyDescent="0.2">
      <c r="Z460" s="667">
        <v>21112101</v>
      </c>
      <c r="AA460" s="671"/>
    </row>
    <row r="461" spans="26:27" x14ac:dyDescent="0.2">
      <c r="Z461" s="667">
        <v>21112105</v>
      </c>
      <c r="AA461" s="671"/>
    </row>
    <row r="462" spans="26:27" x14ac:dyDescent="0.2">
      <c r="Z462" s="667">
        <v>21112201</v>
      </c>
      <c r="AA462" s="671"/>
    </row>
    <row r="463" spans="26:27" x14ac:dyDescent="0.2">
      <c r="Z463" s="667">
        <v>21112205</v>
      </c>
      <c r="AA463" s="671"/>
    </row>
    <row r="464" spans="26:27" x14ac:dyDescent="0.2">
      <c r="Z464" s="667">
        <v>21113001</v>
      </c>
      <c r="AA464" s="671"/>
    </row>
    <row r="465" spans="26:27" x14ac:dyDescent="0.2">
      <c r="Z465" s="667">
        <v>21113005</v>
      </c>
      <c r="AA465" s="671"/>
    </row>
    <row r="466" spans="26:27" x14ac:dyDescent="0.2">
      <c r="Z466" s="667">
        <v>21113101</v>
      </c>
      <c r="AA466" s="671"/>
    </row>
    <row r="467" spans="26:27" x14ac:dyDescent="0.2">
      <c r="Z467" s="667">
        <v>21113105</v>
      </c>
      <c r="AA467" s="671"/>
    </row>
    <row r="468" spans="26:27" x14ac:dyDescent="0.2">
      <c r="Z468" s="667">
        <v>21113201</v>
      </c>
      <c r="AA468" s="671"/>
    </row>
    <row r="469" spans="26:27" x14ac:dyDescent="0.2">
      <c r="Z469" s="667">
        <v>21113205</v>
      </c>
      <c r="AA469" s="671"/>
    </row>
    <row r="470" spans="26:27" x14ac:dyDescent="0.2">
      <c r="Z470" s="667">
        <v>21114001</v>
      </c>
      <c r="AA470" s="671"/>
    </row>
    <row r="471" spans="26:27" x14ac:dyDescent="0.2">
      <c r="Z471" s="667">
        <v>21114005</v>
      </c>
      <c r="AA471" s="671"/>
    </row>
    <row r="472" spans="26:27" x14ac:dyDescent="0.2">
      <c r="Z472" s="667">
        <v>21114101</v>
      </c>
      <c r="AA472" s="671"/>
    </row>
    <row r="473" spans="26:27" x14ac:dyDescent="0.2">
      <c r="Z473" s="667">
        <v>21114105</v>
      </c>
      <c r="AA473" s="671"/>
    </row>
    <row r="474" spans="26:27" x14ac:dyDescent="0.2">
      <c r="Z474" s="667">
        <v>21114201</v>
      </c>
      <c r="AA474" s="671"/>
    </row>
    <row r="475" spans="26:27" x14ac:dyDescent="0.2">
      <c r="Z475" s="667">
        <v>21114205</v>
      </c>
      <c r="AA475" s="671"/>
    </row>
    <row r="476" spans="26:27" x14ac:dyDescent="0.2">
      <c r="Z476" s="667">
        <v>21115001</v>
      </c>
      <c r="AA476" s="671"/>
    </row>
    <row r="477" spans="26:27" x14ac:dyDescent="0.2">
      <c r="Z477" s="667">
        <v>21115005</v>
      </c>
      <c r="AA477" s="671"/>
    </row>
    <row r="478" spans="26:27" x14ac:dyDescent="0.2">
      <c r="Z478" s="667">
        <v>21115101</v>
      </c>
      <c r="AA478" s="671"/>
    </row>
    <row r="479" spans="26:27" x14ac:dyDescent="0.2">
      <c r="Z479" s="667">
        <v>21115105</v>
      </c>
      <c r="AA479" s="671"/>
    </row>
    <row r="480" spans="26:27" x14ac:dyDescent="0.2">
      <c r="Z480" s="667">
        <v>21115201</v>
      </c>
      <c r="AA480" s="671"/>
    </row>
    <row r="481" spans="26:27" x14ac:dyDescent="0.2">
      <c r="Z481" s="667">
        <v>21115205</v>
      </c>
      <c r="AA481" s="671"/>
    </row>
    <row r="482" spans="26:27" x14ac:dyDescent="0.2">
      <c r="Z482" s="667">
        <v>21201001</v>
      </c>
      <c r="AA482" s="671"/>
    </row>
    <row r="483" spans="26:27" x14ac:dyDescent="0.2">
      <c r="Z483" s="667">
        <v>21201005</v>
      </c>
      <c r="AA483" s="671"/>
    </row>
    <row r="484" spans="26:27" x14ac:dyDescent="0.2">
      <c r="Z484" s="667">
        <v>21201101</v>
      </c>
      <c r="AA484" s="671"/>
    </row>
    <row r="485" spans="26:27" x14ac:dyDescent="0.2">
      <c r="Z485" s="667">
        <v>21201105</v>
      </c>
      <c r="AA485" s="671"/>
    </row>
    <row r="486" spans="26:27" x14ac:dyDescent="0.2">
      <c r="Z486" s="667">
        <v>21201201</v>
      </c>
      <c r="AA486" s="671"/>
    </row>
    <row r="487" spans="26:27" x14ac:dyDescent="0.2">
      <c r="Z487" s="667">
        <v>21201205</v>
      </c>
      <c r="AA487" s="671"/>
    </row>
    <row r="488" spans="26:27" x14ac:dyDescent="0.2">
      <c r="Z488" s="667">
        <v>21202001</v>
      </c>
      <c r="AA488" s="671"/>
    </row>
    <row r="489" spans="26:27" x14ac:dyDescent="0.2">
      <c r="Z489" s="667">
        <v>21202005</v>
      </c>
      <c r="AA489" s="671"/>
    </row>
    <row r="490" spans="26:27" x14ac:dyDescent="0.2">
      <c r="Z490" s="667">
        <v>21202101</v>
      </c>
      <c r="AA490" s="671"/>
    </row>
    <row r="491" spans="26:27" x14ac:dyDescent="0.2">
      <c r="Z491" s="667">
        <v>21202105</v>
      </c>
      <c r="AA491" s="671"/>
    </row>
    <row r="492" spans="26:27" x14ac:dyDescent="0.2">
      <c r="Z492" s="667">
        <v>21202201</v>
      </c>
      <c r="AA492" s="671"/>
    </row>
    <row r="493" spans="26:27" x14ac:dyDescent="0.2">
      <c r="Z493" s="667">
        <v>21202205</v>
      </c>
      <c r="AA493" s="671"/>
    </row>
    <row r="494" spans="26:27" x14ac:dyDescent="0.2">
      <c r="Z494" s="667">
        <v>21203001</v>
      </c>
      <c r="AA494" s="671"/>
    </row>
    <row r="495" spans="26:27" x14ac:dyDescent="0.2">
      <c r="Z495" s="667">
        <v>21203005</v>
      </c>
      <c r="AA495" s="671"/>
    </row>
    <row r="496" spans="26:27" x14ac:dyDescent="0.2">
      <c r="Z496" s="667">
        <v>21203101</v>
      </c>
      <c r="AA496" s="671"/>
    </row>
    <row r="497" spans="26:27" x14ac:dyDescent="0.2">
      <c r="Z497" s="667">
        <v>21203105</v>
      </c>
      <c r="AA497" s="671"/>
    </row>
    <row r="498" spans="26:27" x14ac:dyDescent="0.2">
      <c r="Z498" s="667">
        <v>21203201</v>
      </c>
      <c r="AA498" s="671"/>
    </row>
    <row r="499" spans="26:27" x14ac:dyDescent="0.2">
      <c r="Z499" s="667">
        <v>21203205</v>
      </c>
      <c r="AA499" s="671"/>
    </row>
    <row r="500" spans="26:27" x14ac:dyDescent="0.2">
      <c r="Z500" s="667">
        <v>21204001</v>
      </c>
      <c r="AA500" s="671"/>
    </row>
    <row r="501" spans="26:27" x14ac:dyDescent="0.2">
      <c r="Z501" s="667">
        <v>21204005</v>
      </c>
      <c r="AA501" s="671"/>
    </row>
    <row r="502" spans="26:27" x14ac:dyDescent="0.2">
      <c r="Z502" s="667">
        <v>21204101</v>
      </c>
      <c r="AA502" s="671"/>
    </row>
    <row r="503" spans="26:27" x14ac:dyDescent="0.2">
      <c r="Z503" s="667">
        <v>21204105</v>
      </c>
      <c r="AA503" s="671"/>
    </row>
    <row r="504" spans="26:27" x14ac:dyDescent="0.2">
      <c r="Z504" s="667">
        <v>21204201</v>
      </c>
      <c r="AA504" s="671"/>
    </row>
    <row r="505" spans="26:27" x14ac:dyDescent="0.2">
      <c r="Z505" s="667">
        <v>21204205</v>
      </c>
      <c r="AA505" s="671"/>
    </row>
    <row r="506" spans="26:27" x14ac:dyDescent="0.2">
      <c r="Z506" s="667">
        <v>21205001</v>
      </c>
      <c r="AA506" s="671"/>
    </row>
    <row r="507" spans="26:27" x14ac:dyDescent="0.2">
      <c r="Z507" s="667">
        <v>21205005</v>
      </c>
      <c r="AA507" s="671"/>
    </row>
    <row r="508" spans="26:27" x14ac:dyDescent="0.2">
      <c r="Z508" s="667">
        <v>21205101</v>
      </c>
      <c r="AA508" s="671"/>
    </row>
    <row r="509" spans="26:27" x14ac:dyDescent="0.2">
      <c r="Z509" s="667">
        <v>21205105</v>
      </c>
      <c r="AA509" s="671"/>
    </row>
    <row r="510" spans="26:27" x14ac:dyDescent="0.2">
      <c r="Z510" s="667">
        <v>21205201</v>
      </c>
      <c r="AA510" s="671"/>
    </row>
    <row r="511" spans="26:27" x14ac:dyDescent="0.2">
      <c r="Z511" s="667">
        <v>21205205</v>
      </c>
      <c r="AA511" s="671"/>
    </row>
    <row r="512" spans="26:27" x14ac:dyDescent="0.2">
      <c r="Z512" s="672">
        <v>21211001</v>
      </c>
      <c r="AA512" s="671"/>
    </row>
    <row r="513" spans="26:27" x14ac:dyDescent="0.2">
      <c r="Z513" s="672">
        <v>21211005</v>
      </c>
      <c r="AA513" s="671"/>
    </row>
    <row r="514" spans="26:27" x14ac:dyDescent="0.2">
      <c r="Z514" s="667">
        <v>21211101</v>
      </c>
      <c r="AA514" s="671"/>
    </row>
    <row r="515" spans="26:27" x14ac:dyDescent="0.2">
      <c r="Z515" s="667">
        <v>21211105</v>
      </c>
      <c r="AA515" s="671"/>
    </row>
    <row r="516" spans="26:27" x14ac:dyDescent="0.2">
      <c r="Z516" s="667">
        <v>21211201</v>
      </c>
      <c r="AA516" s="671"/>
    </row>
    <row r="517" spans="26:27" x14ac:dyDescent="0.2">
      <c r="Z517" s="667">
        <v>21211205</v>
      </c>
      <c r="AA517" s="671"/>
    </row>
    <row r="518" spans="26:27" x14ac:dyDescent="0.2">
      <c r="Z518" s="667">
        <v>21212001</v>
      </c>
      <c r="AA518" s="671"/>
    </row>
    <row r="519" spans="26:27" x14ac:dyDescent="0.2">
      <c r="Z519" s="667">
        <v>21212005</v>
      </c>
      <c r="AA519" s="671"/>
    </row>
    <row r="520" spans="26:27" x14ac:dyDescent="0.2">
      <c r="Z520" s="667">
        <v>21212101</v>
      </c>
      <c r="AA520" s="671"/>
    </row>
    <row r="521" spans="26:27" x14ac:dyDescent="0.2">
      <c r="Z521" s="667">
        <v>21212105</v>
      </c>
      <c r="AA521" s="671"/>
    </row>
    <row r="522" spans="26:27" x14ac:dyDescent="0.2">
      <c r="Z522" s="667">
        <v>21212201</v>
      </c>
      <c r="AA522" s="671"/>
    </row>
    <row r="523" spans="26:27" x14ac:dyDescent="0.2">
      <c r="Z523" s="667">
        <v>21212205</v>
      </c>
      <c r="AA523" s="671"/>
    </row>
    <row r="524" spans="26:27" x14ac:dyDescent="0.2">
      <c r="Z524" s="667">
        <v>21213001</v>
      </c>
      <c r="AA524" s="671"/>
    </row>
    <row r="525" spans="26:27" x14ac:dyDescent="0.2">
      <c r="Z525" s="667">
        <v>21213005</v>
      </c>
      <c r="AA525" s="671"/>
    </row>
    <row r="526" spans="26:27" x14ac:dyDescent="0.2">
      <c r="Z526" s="667">
        <v>21213101</v>
      </c>
      <c r="AA526" s="671"/>
    </row>
    <row r="527" spans="26:27" x14ac:dyDescent="0.2">
      <c r="Z527" s="667">
        <v>21213105</v>
      </c>
      <c r="AA527" s="671"/>
    </row>
    <row r="528" spans="26:27" x14ac:dyDescent="0.2">
      <c r="Z528" s="667">
        <v>21213201</v>
      </c>
      <c r="AA528" s="671"/>
    </row>
    <row r="529" spans="26:27" x14ac:dyDescent="0.2">
      <c r="Z529" s="667">
        <v>21213205</v>
      </c>
      <c r="AA529" s="671"/>
    </row>
    <row r="530" spans="26:27" x14ac:dyDescent="0.2">
      <c r="Z530" s="667">
        <v>21214001</v>
      </c>
      <c r="AA530" s="671"/>
    </row>
    <row r="531" spans="26:27" x14ac:dyDescent="0.2">
      <c r="Z531" s="667">
        <v>21214005</v>
      </c>
      <c r="AA531" s="671"/>
    </row>
    <row r="532" spans="26:27" x14ac:dyDescent="0.2">
      <c r="Z532" s="667">
        <v>21214101</v>
      </c>
      <c r="AA532" s="671"/>
    </row>
    <row r="533" spans="26:27" x14ac:dyDescent="0.2">
      <c r="Z533" s="667">
        <v>21214105</v>
      </c>
      <c r="AA533" s="671"/>
    </row>
    <row r="534" spans="26:27" x14ac:dyDescent="0.2">
      <c r="Z534" s="667">
        <v>21214201</v>
      </c>
      <c r="AA534" s="671"/>
    </row>
    <row r="535" spans="26:27" x14ac:dyDescent="0.2">
      <c r="Z535" s="667">
        <v>21214205</v>
      </c>
      <c r="AA535" s="671"/>
    </row>
    <row r="536" spans="26:27" x14ac:dyDescent="0.2">
      <c r="Z536" s="667">
        <v>21215001</v>
      </c>
      <c r="AA536" s="671"/>
    </row>
    <row r="537" spans="26:27" x14ac:dyDescent="0.2">
      <c r="Z537" s="667">
        <v>21215005</v>
      </c>
      <c r="AA537" s="671"/>
    </row>
    <row r="538" spans="26:27" x14ac:dyDescent="0.2">
      <c r="Z538" s="667">
        <v>21215101</v>
      </c>
      <c r="AA538" s="671"/>
    </row>
    <row r="539" spans="26:27" x14ac:dyDescent="0.2">
      <c r="Z539" s="667">
        <v>21215105</v>
      </c>
      <c r="AA539" s="671"/>
    </row>
    <row r="540" spans="26:27" x14ac:dyDescent="0.2">
      <c r="Z540" s="667">
        <v>21215201</v>
      </c>
      <c r="AA540" s="671"/>
    </row>
    <row r="541" spans="26:27" x14ac:dyDescent="0.2">
      <c r="Z541" s="667">
        <v>21215205</v>
      </c>
      <c r="AA541" s="671"/>
    </row>
    <row r="542" spans="26:27" x14ac:dyDescent="0.2">
      <c r="Z542" s="667">
        <v>22001001</v>
      </c>
      <c r="AA542" s="671"/>
    </row>
    <row r="543" spans="26:27" x14ac:dyDescent="0.2">
      <c r="Z543" s="667">
        <v>22001005</v>
      </c>
      <c r="AA543" s="671"/>
    </row>
    <row r="544" spans="26:27" x14ac:dyDescent="0.2">
      <c r="Z544" s="667">
        <v>22001101</v>
      </c>
      <c r="AA544" s="671"/>
    </row>
    <row r="545" spans="26:27" x14ac:dyDescent="0.2">
      <c r="Z545" s="667">
        <v>22001105</v>
      </c>
      <c r="AA545" s="671"/>
    </row>
    <row r="546" spans="26:27" x14ac:dyDescent="0.2">
      <c r="Z546" s="667">
        <v>22001201</v>
      </c>
      <c r="AA546" s="671"/>
    </row>
    <row r="547" spans="26:27" x14ac:dyDescent="0.2">
      <c r="Z547" s="667">
        <v>22001205</v>
      </c>
      <c r="AA547" s="671"/>
    </row>
    <row r="548" spans="26:27" x14ac:dyDescent="0.2">
      <c r="Z548" s="667">
        <v>22002001</v>
      </c>
      <c r="AA548" s="671"/>
    </row>
    <row r="549" spans="26:27" x14ac:dyDescent="0.2">
      <c r="Z549" s="667">
        <v>22002005</v>
      </c>
      <c r="AA549" s="671"/>
    </row>
    <row r="550" spans="26:27" x14ac:dyDescent="0.2">
      <c r="Z550" s="667">
        <v>22002101</v>
      </c>
      <c r="AA550" s="671"/>
    </row>
    <row r="551" spans="26:27" x14ac:dyDescent="0.2">
      <c r="Z551" s="667">
        <v>22002105</v>
      </c>
      <c r="AA551" s="671"/>
    </row>
    <row r="552" spans="26:27" x14ac:dyDescent="0.2">
      <c r="Z552" s="667">
        <v>22002201</v>
      </c>
      <c r="AA552" s="671"/>
    </row>
    <row r="553" spans="26:27" x14ac:dyDescent="0.2">
      <c r="Z553" s="667">
        <v>22002205</v>
      </c>
      <c r="AA553" s="671"/>
    </row>
    <row r="554" spans="26:27" x14ac:dyDescent="0.2">
      <c r="Z554" s="667">
        <v>22003001</v>
      </c>
      <c r="AA554" s="671"/>
    </row>
    <row r="555" spans="26:27" x14ac:dyDescent="0.2">
      <c r="Z555" s="667">
        <v>22003005</v>
      </c>
      <c r="AA555" s="671"/>
    </row>
    <row r="556" spans="26:27" x14ac:dyDescent="0.2">
      <c r="Z556" s="667">
        <v>22003101</v>
      </c>
      <c r="AA556" s="671"/>
    </row>
    <row r="557" spans="26:27" x14ac:dyDescent="0.2">
      <c r="Z557" s="667">
        <v>22003105</v>
      </c>
      <c r="AA557" s="671"/>
    </row>
    <row r="558" spans="26:27" x14ac:dyDescent="0.2">
      <c r="Z558" s="667">
        <v>22003201</v>
      </c>
      <c r="AA558" s="671"/>
    </row>
    <row r="559" spans="26:27" x14ac:dyDescent="0.2">
      <c r="Z559" s="667">
        <v>22003205</v>
      </c>
      <c r="AA559" s="671"/>
    </row>
    <row r="560" spans="26:27" x14ac:dyDescent="0.2">
      <c r="Z560" s="667">
        <v>22004001</v>
      </c>
      <c r="AA560" s="671"/>
    </row>
    <row r="561" spans="26:27" x14ac:dyDescent="0.2">
      <c r="Z561" s="667">
        <v>22004005</v>
      </c>
      <c r="AA561" s="671"/>
    </row>
    <row r="562" spans="26:27" x14ac:dyDescent="0.2">
      <c r="Z562" s="667">
        <v>22004101</v>
      </c>
      <c r="AA562" s="671"/>
    </row>
    <row r="563" spans="26:27" x14ac:dyDescent="0.2">
      <c r="Z563" s="667">
        <v>22004105</v>
      </c>
      <c r="AA563" s="671"/>
    </row>
    <row r="564" spans="26:27" x14ac:dyDescent="0.2">
      <c r="Z564" s="667">
        <v>22004201</v>
      </c>
      <c r="AA564" s="671"/>
    </row>
    <row r="565" spans="26:27" x14ac:dyDescent="0.2">
      <c r="Z565" s="667">
        <v>22004205</v>
      </c>
      <c r="AA565" s="671"/>
    </row>
    <row r="566" spans="26:27" x14ac:dyDescent="0.2">
      <c r="Z566" s="667">
        <v>22005001</v>
      </c>
      <c r="AA566" s="671"/>
    </row>
    <row r="567" spans="26:27" x14ac:dyDescent="0.2">
      <c r="Z567" s="667">
        <v>22005005</v>
      </c>
      <c r="AA567" s="671"/>
    </row>
    <row r="568" spans="26:27" x14ac:dyDescent="0.2">
      <c r="Z568" s="667">
        <v>22005101</v>
      </c>
      <c r="AA568" s="671"/>
    </row>
    <row r="569" spans="26:27" x14ac:dyDescent="0.2">
      <c r="Z569" s="667">
        <v>22005105</v>
      </c>
      <c r="AA569" s="671"/>
    </row>
    <row r="570" spans="26:27" x14ac:dyDescent="0.2">
      <c r="Z570" s="667">
        <v>22005201</v>
      </c>
      <c r="AA570" s="671"/>
    </row>
    <row r="571" spans="26:27" x14ac:dyDescent="0.2">
      <c r="Z571" s="667">
        <v>22005205</v>
      </c>
      <c r="AA571" s="671"/>
    </row>
    <row r="572" spans="26:27" x14ac:dyDescent="0.2">
      <c r="Z572" s="672">
        <v>22011001</v>
      </c>
      <c r="AA572" s="671"/>
    </row>
    <row r="573" spans="26:27" x14ac:dyDescent="0.2">
      <c r="Z573" s="672">
        <v>22011005</v>
      </c>
      <c r="AA573" s="671"/>
    </row>
    <row r="574" spans="26:27" x14ac:dyDescent="0.2">
      <c r="Z574" s="667">
        <v>22011101</v>
      </c>
      <c r="AA574" s="671"/>
    </row>
    <row r="575" spans="26:27" x14ac:dyDescent="0.2">
      <c r="Z575" s="667">
        <v>22011105</v>
      </c>
      <c r="AA575" s="671"/>
    </row>
    <row r="576" spans="26:27" x14ac:dyDescent="0.2">
      <c r="Z576" s="667">
        <v>22011201</v>
      </c>
      <c r="AA576" s="671"/>
    </row>
    <row r="577" spans="26:27" x14ac:dyDescent="0.2">
      <c r="Z577" s="667">
        <v>22011205</v>
      </c>
      <c r="AA577" s="671"/>
    </row>
    <row r="578" spans="26:27" x14ac:dyDescent="0.2">
      <c r="Z578" s="667">
        <v>22012001</v>
      </c>
      <c r="AA578" s="671"/>
    </row>
    <row r="579" spans="26:27" x14ac:dyDescent="0.2">
      <c r="Z579" s="667">
        <v>22012005</v>
      </c>
      <c r="AA579" s="671"/>
    </row>
    <row r="580" spans="26:27" x14ac:dyDescent="0.2">
      <c r="Z580" s="667">
        <v>22012101</v>
      </c>
      <c r="AA580" s="671"/>
    </row>
    <row r="581" spans="26:27" x14ac:dyDescent="0.2">
      <c r="Z581" s="667">
        <v>22012105</v>
      </c>
      <c r="AA581" s="671"/>
    </row>
    <row r="582" spans="26:27" x14ac:dyDescent="0.2">
      <c r="Z582" s="667">
        <v>22012201</v>
      </c>
      <c r="AA582" s="671"/>
    </row>
    <row r="583" spans="26:27" x14ac:dyDescent="0.2">
      <c r="Z583" s="667">
        <v>22012205</v>
      </c>
      <c r="AA583" s="671"/>
    </row>
    <row r="584" spans="26:27" x14ac:dyDescent="0.2">
      <c r="Z584" s="667">
        <v>22013001</v>
      </c>
      <c r="AA584" s="671"/>
    </row>
    <row r="585" spans="26:27" x14ac:dyDescent="0.2">
      <c r="Z585" s="667">
        <v>22013005</v>
      </c>
      <c r="AA585" s="671"/>
    </row>
    <row r="586" spans="26:27" x14ac:dyDescent="0.2">
      <c r="Z586" s="667">
        <v>22013101</v>
      </c>
      <c r="AA586" s="671"/>
    </row>
    <row r="587" spans="26:27" x14ac:dyDescent="0.2">
      <c r="Z587" s="667">
        <v>22013105</v>
      </c>
      <c r="AA587" s="671"/>
    </row>
    <row r="588" spans="26:27" x14ac:dyDescent="0.2">
      <c r="Z588" s="667">
        <v>22013201</v>
      </c>
      <c r="AA588" s="671"/>
    </row>
    <row r="589" spans="26:27" x14ac:dyDescent="0.2">
      <c r="Z589" s="667">
        <v>22013205</v>
      </c>
      <c r="AA589" s="671"/>
    </row>
    <row r="590" spans="26:27" x14ac:dyDescent="0.2">
      <c r="Z590" s="667">
        <v>22014001</v>
      </c>
      <c r="AA590" s="671"/>
    </row>
    <row r="591" spans="26:27" x14ac:dyDescent="0.2">
      <c r="Z591" s="667">
        <v>22014005</v>
      </c>
      <c r="AA591" s="671"/>
    </row>
    <row r="592" spans="26:27" x14ac:dyDescent="0.2">
      <c r="Z592" s="667">
        <v>22014101</v>
      </c>
      <c r="AA592" s="671"/>
    </row>
    <row r="593" spans="26:27" x14ac:dyDescent="0.2">
      <c r="Z593" s="667">
        <v>22014105</v>
      </c>
      <c r="AA593" s="671"/>
    </row>
    <row r="594" spans="26:27" x14ac:dyDescent="0.2">
      <c r="Z594" s="667">
        <v>22014201</v>
      </c>
      <c r="AA594" s="671"/>
    </row>
    <row r="595" spans="26:27" x14ac:dyDescent="0.2">
      <c r="Z595" s="667">
        <v>22014205</v>
      </c>
      <c r="AA595" s="671"/>
    </row>
    <row r="596" spans="26:27" x14ac:dyDescent="0.2">
      <c r="Z596" s="667">
        <v>22015001</v>
      </c>
      <c r="AA596" s="671"/>
    </row>
    <row r="597" spans="26:27" x14ac:dyDescent="0.2">
      <c r="Z597" s="667">
        <v>22015005</v>
      </c>
      <c r="AA597" s="671"/>
    </row>
    <row r="598" spans="26:27" x14ac:dyDescent="0.2">
      <c r="Z598" s="667">
        <v>22015101</v>
      </c>
      <c r="AA598" s="671"/>
    </row>
    <row r="599" spans="26:27" x14ac:dyDescent="0.2">
      <c r="Z599" s="667">
        <v>22015105</v>
      </c>
      <c r="AA599" s="671"/>
    </row>
    <row r="600" spans="26:27" x14ac:dyDescent="0.2">
      <c r="Z600" s="667">
        <v>22015201</v>
      </c>
      <c r="AA600" s="671"/>
    </row>
    <row r="601" spans="26:27" x14ac:dyDescent="0.2">
      <c r="Z601" s="667">
        <v>22015205</v>
      </c>
      <c r="AA601" s="671"/>
    </row>
    <row r="602" spans="26:27" x14ac:dyDescent="0.2">
      <c r="Z602" s="667">
        <v>22101001</v>
      </c>
      <c r="AA602" s="671"/>
    </row>
    <row r="603" spans="26:27" x14ac:dyDescent="0.2">
      <c r="Z603" s="667">
        <v>22101005</v>
      </c>
      <c r="AA603" s="671"/>
    </row>
    <row r="604" spans="26:27" x14ac:dyDescent="0.2">
      <c r="Z604" s="667">
        <v>22101101</v>
      </c>
      <c r="AA604" s="671"/>
    </row>
    <row r="605" spans="26:27" x14ac:dyDescent="0.2">
      <c r="Z605" s="667">
        <v>22101105</v>
      </c>
      <c r="AA605" s="671"/>
    </row>
    <row r="606" spans="26:27" x14ac:dyDescent="0.2">
      <c r="Z606" s="667">
        <v>22101201</v>
      </c>
      <c r="AA606" s="671"/>
    </row>
    <row r="607" spans="26:27" x14ac:dyDescent="0.2">
      <c r="Z607" s="667">
        <v>22101205</v>
      </c>
      <c r="AA607" s="671"/>
    </row>
    <row r="608" spans="26:27" x14ac:dyDescent="0.2">
      <c r="Z608" s="667">
        <v>22102001</v>
      </c>
      <c r="AA608" s="671"/>
    </row>
    <row r="609" spans="26:27" x14ac:dyDescent="0.2">
      <c r="Z609" s="667">
        <v>22102005</v>
      </c>
      <c r="AA609" s="671"/>
    </row>
    <row r="610" spans="26:27" x14ac:dyDescent="0.2">
      <c r="Z610" s="667">
        <v>22102101</v>
      </c>
      <c r="AA610" s="671"/>
    </row>
    <row r="611" spans="26:27" x14ac:dyDescent="0.2">
      <c r="Z611" s="667">
        <v>22102105</v>
      </c>
      <c r="AA611" s="671"/>
    </row>
    <row r="612" spans="26:27" x14ac:dyDescent="0.2">
      <c r="Z612" s="667">
        <v>22102201</v>
      </c>
      <c r="AA612" s="671"/>
    </row>
    <row r="613" spans="26:27" x14ac:dyDescent="0.2">
      <c r="Z613" s="667">
        <v>22102205</v>
      </c>
      <c r="AA613" s="671"/>
    </row>
    <row r="614" spans="26:27" x14ac:dyDescent="0.2">
      <c r="Z614" s="667">
        <v>22103001</v>
      </c>
      <c r="AA614" s="671"/>
    </row>
    <row r="615" spans="26:27" x14ac:dyDescent="0.2">
      <c r="Z615" s="667">
        <v>22103005</v>
      </c>
      <c r="AA615" s="671"/>
    </row>
    <row r="616" spans="26:27" x14ac:dyDescent="0.2">
      <c r="Z616" s="667">
        <v>22103101</v>
      </c>
      <c r="AA616" s="671"/>
    </row>
    <row r="617" spans="26:27" x14ac:dyDescent="0.2">
      <c r="Z617" s="667">
        <v>22103105</v>
      </c>
      <c r="AA617" s="671"/>
    </row>
    <row r="618" spans="26:27" x14ac:dyDescent="0.2">
      <c r="Z618" s="667">
        <v>22103201</v>
      </c>
      <c r="AA618" s="671"/>
    </row>
    <row r="619" spans="26:27" x14ac:dyDescent="0.2">
      <c r="Z619" s="667">
        <v>22103205</v>
      </c>
      <c r="AA619" s="671"/>
    </row>
    <row r="620" spans="26:27" x14ac:dyDescent="0.2">
      <c r="Z620" s="667">
        <v>22104001</v>
      </c>
      <c r="AA620" s="671"/>
    </row>
    <row r="621" spans="26:27" x14ac:dyDescent="0.2">
      <c r="Z621" s="667">
        <v>22104005</v>
      </c>
      <c r="AA621" s="671"/>
    </row>
    <row r="622" spans="26:27" x14ac:dyDescent="0.2">
      <c r="Z622" s="667">
        <v>22104101</v>
      </c>
      <c r="AA622" s="671"/>
    </row>
    <row r="623" spans="26:27" x14ac:dyDescent="0.2">
      <c r="Z623" s="667">
        <v>22104105</v>
      </c>
      <c r="AA623" s="671"/>
    </row>
    <row r="624" spans="26:27" x14ac:dyDescent="0.2">
      <c r="Z624" s="667">
        <v>22104201</v>
      </c>
      <c r="AA624" s="671"/>
    </row>
    <row r="625" spans="26:27" x14ac:dyDescent="0.2">
      <c r="Z625" s="667">
        <v>22104205</v>
      </c>
      <c r="AA625" s="671"/>
    </row>
    <row r="626" spans="26:27" x14ac:dyDescent="0.2">
      <c r="Z626" s="667">
        <v>22105001</v>
      </c>
      <c r="AA626" s="671"/>
    </row>
    <row r="627" spans="26:27" x14ac:dyDescent="0.2">
      <c r="Z627" s="667">
        <v>22105005</v>
      </c>
      <c r="AA627" s="671"/>
    </row>
    <row r="628" spans="26:27" x14ac:dyDescent="0.2">
      <c r="Z628" s="667">
        <v>22105101</v>
      </c>
      <c r="AA628" s="671"/>
    </row>
    <row r="629" spans="26:27" x14ac:dyDescent="0.2">
      <c r="Z629" s="667">
        <v>22105105</v>
      </c>
      <c r="AA629" s="671"/>
    </row>
    <row r="630" spans="26:27" x14ac:dyDescent="0.2">
      <c r="Z630" s="667">
        <v>22105201</v>
      </c>
      <c r="AA630" s="671"/>
    </row>
    <row r="631" spans="26:27" x14ac:dyDescent="0.2">
      <c r="Z631" s="667">
        <v>22105205</v>
      </c>
      <c r="AA631" s="671"/>
    </row>
    <row r="632" spans="26:27" x14ac:dyDescent="0.2">
      <c r="Z632" s="672">
        <v>22111001</v>
      </c>
      <c r="AA632" s="671"/>
    </row>
    <row r="633" spans="26:27" x14ac:dyDescent="0.2">
      <c r="Z633" s="672">
        <v>22111005</v>
      </c>
      <c r="AA633" s="671"/>
    </row>
    <row r="634" spans="26:27" x14ac:dyDescent="0.2">
      <c r="Z634" s="667">
        <v>22111101</v>
      </c>
      <c r="AA634" s="671"/>
    </row>
    <row r="635" spans="26:27" x14ac:dyDescent="0.2">
      <c r="Z635" s="667">
        <v>22111105</v>
      </c>
      <c r="AA635" s="671"/>
    </row>
    <row r="636" spans="26:27" x14ac:dyDescent="0.2">
      <c r="Z636" s="667">
        <v>22111201</v>
      </c>
      <c r="AA636" s="671"/>
    </row>
    <row r="637" spans="26:27" x14ac:dyDescent="0.2">
      <c r="Z637" s="667">
        <v>22111205</v>
      </c>
      <c r="AA637" s="671"/>
    </row>
    <row r="638" spans="26:27" x14ac:dyDescent="0.2">
      <c r="Z638" s="667">
        <v>22112001</v>
      </c>
      <c r="AA638" s="671"/>
    </row>
    <row r="639" spans="26:27" x14ac:dyDescent="0.2">
      <c r="Z639" s="667">
        <v>22112005</v>
      </c>
      <c r="AA639" s="671"/>
    </row>
    <row r="640" spans="26:27" x14ac:dyDescent="0.2">
      <c r="Z640" s="667">
        <v>22112101</v>
      </c>
      <c r="AA640" s="671"/>
    </row>
    <row r="641" spans="26:27" x14ac:dyDescent="0.2">
      <c r="Z641" s="667">
        <v>22112105</v>
      </c>
      <c r="AA641" s="671"/>
    </row>
    <row r="642" spans="26:27" x14ac:dyDescent="0.2">
      <c r="Z642" s="667">
        <v>22112201</v>
      </c>
      <c r="AA642" s="671"/>
    </row>
    <row r="643" spans="26:27" x14ac:dyDescent="0.2">
      <c r="Z643" s="667">
        <v>22112205</v>
      </c>
      <c r="AA643" s="671"/>
    </row>
    <row r="644" spans="26:27" x14ac:dyDescent="0.2">
      <c r="Z644" s="667">
        <v>22113001</v>
      </c>
      <c r="AA644" s="671"/>
    </row>
    <row r="645" spans="26:27" x14ac:dyDescent="0.2">
      <c r="Z645" s="667">
        <v>22113005</v>
      </c>
      <c r="AA645" s="671"/>
    </row>
    <row r="646" spans="26:27" x14ac:dyDescent="0.2">
      <c r="Z646" s="667">
        <v>22113101</v>
      </c>
      <c r="AA646" s="671"/>
    </row>
    <row r="647" spans="26:27" x14ac:dyDescent="0.2">
      <c r="Z647" s="667">
        <v>22113105</v>
      </c>
      <c r="AA647" s="671"/>
    </row>
    <row r="648" spans="26:27" x14ac:dyDescent="0.2">
      <c r="Z648" s="667">
        <v>22113201</v>
      </c>
      <c r="AA648" s="671"/>
    </row>
    <row r="649" spans="26:27" x14ac:dyDescent="0.2">
      <c r="Z649" s="667">
        <v>22113205</v>
      </c>
      <c r="AA649" s="671"/>
    </row>
    <row r="650" spans="26:27" x14ac:dyDescent="0.2">
      <c r="Z650" s="667">
        <v>22114001</v>
      </c>
      <c r="AA650" s="671"/>
    </row>
    <row r="651" spans="26:27" x14ac:dyDescent="0.2">
      <c r="Z651" s="667">
        <v>22114005</v>
      </c>
      <c r="AA651" s="671"/>
    </row>
    <row r="652" spans="26:27" x14ac:dyDescent="0.2">
      <c r="Z652" s="667">
        <v>22114101</v>
      </c>
      <c r="AA652" s="671"/>
    </row>
    <row r="653" spans="26:27" x14ac:dyDescent="0.2">
      <c r="Z653" s="667">
        <v>22114105</v>
      </c>
      <c r="AA653" s="671"/>
    </row>
    <row r="654" spans="26:27" x14ac:dyDescent="0.2">
      <c r="Z654" s="667">
        <v>22114201</v>
      </c>
      <c r="AA654" s="671"/>
    </row>
    <row r="655" spans="26:27" x14ac:dyDescent="0.2">
      <c r="Z655" s="667">
        <v>22114205</v>
      </c>
      <c r="AA655" s="671"/>
    </row>
    <row r="656" spans="26:27" x14ac:dyDescent="0.2">
      <c r="Z656" s="667">
        <v>22115001</v>
      </c>
      <c r="AA656" s="671"/>
    </row>
    <row r="657" spans="26:27" x14ac:dyDescent="0.2">
      <c r="Z657" s="667">
        <v>22115005</v>
      </c>
      <c r="AA657" s="671"/>
    </row>
    <row r="658" spans="26:27" x14ac:dyDescent="0.2">
      <c r="Z658" s="667">
        <v>22115101</v>
      </c>
      <c r="AA658" s="671"/>
    </row>
    <row r="659" spans="26:27" x14ac:dyDescent="0.2">
      <c r="Z659" s="667">
        <v>22115105</v>
      </c>
      <c r="AA659" s="671"/>
    </row>
    <row r="660" spans="26:27" x14ac:dyDescent="0.2">
      <c r="Z660" s="667">
        <v>22115201</v>
      </c>
      <c r="AA660" s="671"/>
    </row>
    <row r="661" spans="26:27" x14ac:dyDescent="0.2">
      <c r="Z661" s="667">
        <v>22115205</v>
      </c>
      <c r="AA661" s="671"/>
    </row>
    <row r="662" spans="26:27" x14ac:dyDescent="0.2">
      <c r="Z662" s="667">
        <v>22201001</v>
      </c>
      <c r="AA662" s="671"/>
    </row>
    <row r="663" spans="26:27" x14ac:dyDescent="0.2">
      <c r="Z663" s="667">
        <v>22201005</v>
      </c>
      <c r="AA663" s="671"/>
    </row>
    <row r="664" spans="26:27" x14ac:dyDescent="0.2">
      <c r="Z664" s="667">
        <v>22201101</v>
      </c>
      <c r="AA664" s="671"/>
    </row>
    <row r="665" spans="26:27" x14ac:dyDescent="0.2">
      <c r="Z665" s="667">
        <v>22201105</v>
      </c>
      <c r="AA665" s="671"/>
    </row>
    <row r="666" spans="26:27" x14ac:dyDescent="0.2">
      <c r="Z666" s="667">
        <v>22201201</v>
      </c>
      <c r="AA666" s="671"/>
    </row>
    <row r="667" spans="26:27" x14ac:dyDescent="0.2">
      <c r="Z667" s="667">
        <v>22201205</v>
      </c>
      <c r="AA667" s="671"/>
    </row>
    <row r="668" spans="26:27" x14ac:dyDescent="0.2">
      <c r="Z668" s="667">
        <v>22202001</v>
      </c>
      <c r="AA668" s="671"/>
    </row>
    <row r="669" spans="26:27" x14ac:dyDescent="0.2">
      <c r="Z669" s="667">
        <v>22202005</v>
      </c>
      <c r="AA669" s="671"/>
    </row>
    <row r="670" spans="26:27" x14ac:dyDescent="0.2">
      <c r="Z670" s="667">
        <v>22202101</v>
      </c>
      <c r="AA670" s="671"/>
    </row>
    <row r="671" spans="26:27" x14ac:dyDescent="0.2">
      <c r="Z671" s="667">
        <v>22202105</v>
      </c>
      <c r="AA671" s="671"/>
    </row>
    <row r="672" spans="26:27" x14ac:dyDescent="0.2">
      <c r="Z672" s="667">
        <v>22202201</v>
      </c>
      <c r="AA672" s="671"/>
    </row>
    <row r="673" spans="26:27" x14ac:dyDescent="0.2">
      <c r="Z673" s="667">
        <v>22202205</v>
      </c>
      <c r="AA673" s="671"/>
    </row>
    <row r="674" spans="26:27" x14ac:dyDescent="0.2">
      <c r="Z674" s="667">
        <v>22203001</v>
      </c>
      <c r="AA674" s="671"/>
    </row>
    <row r="675" spans="26:27" x14ac:dyDescent="0.2">
      <c r="Z675" s="667">
        <v>22203005</v>
      </c>
      <c r="AA675" s="671"/>
    </row>
    <row r="676" spans="26:27" x14ac:dyDescent="0.2">
      <c r="Z676" s="667">
        <v>22203101</v>
      </c>
      <c r="AA676" s="671"/>
    </row>
    <row r="677" spans="26:27" x14ac:dyDescent="0.2">
      <c r="Z677" s="667">
        <v>22203105</v>
      </c>
      <c r="AA677" s="671"/>
    </row>
    <row r="678" spans="26:27" x14ac:dyDescent="0.2">
      <c r="Z678" s="667">
        <v>22203201</v>
      </c>
      <c r="AA678" s="671"/>
    </row>
    <row r="679" spans="26:27" x14ac:dyDescent="0.2">
      <c r="Z679" s="667">
        <v>22203205</v>
      </c>
      <c r="AA679" s="671"/>
    </row>
    <row r="680" spans="26:27" x14ac:dyDescent="0.2">
      <c r="Z680" s="667">
        <v>22204001</v>
      </c>
      <c r="AA680" s="671"/>
    </row>
    <row r="681" spans="26:27" x14ac:dyDescent="0.2">
      <c r="Z681" s="667">
        <v>22204005</v>
      </c>
      <c r="AA681" s="671"/>
    </row>
    <row r="682" spans="26:27" x14ac:dyDescent="0.2">
      <c r="Z682" s="667">
        <v>22204101</v>
      </c>
      <c r="AA682" s="671"/>
    </row>
    <row r="683" spans="26:27" x14ac:dyDescent="0.2">
      <c r="Z683" s="667">
        <v>22204105</v>
      </c>
      <c r="AA683" s="671"/>
    </row>
    <row r="684" spans="26:27" x14ac:dyDescent="0.2">
      <c r="Z684" s="667">
        <v>22204201</v>
      </c>
      <c r="AA684" s="671"/>
    </row>
    <row r="685" spans="26:27" x14ac:dyDescent="0.2">
      <c r="Z685" s="667">
        <v>22204205</v>
      </c>
      <c r="AA685" s="671"/>
    </row>
    <row r="686" spans="26:27" x14ac:dyDescent="0.2">
      <c r="Z686" s="667">
        <v>22205001</v>
      </c>
      <c r="AA686" s="671"/>
    </row>
    <row r="687" spans="26:27" x14ac:dyDescent="0.2">
      <c r="Z687" s="667">
        <v>22205005</v>
      </c>
      <c r="AA687" s="671"/>
    </row>
    <row r="688" spans="26:27" x14ac:dyDescent="0.2">
      <c r="Z688" s="667">
        <v>22205101</v>
      </c>
      <c r="AA688" s="671"/>
    </row>
    <row r="689" spans="26:27" x14ac:dyDescent="0.2">
      <c r="Z689" s="667">
        <v>22205105</v>
      </c>
      <c r="AA689" s="671"/>
    </row>
    <row r="690" spans="26:27" x14ac:dyDescent="0.2">
      <c r="Z690" s="667">
        <v>22205201</v>
      </c>
      <c r="AA690" s="671"/>
    </row>
    <row r="691" spans="26:27" x14ac:dyDescent="0.2">
      <c r="Z691" s="667">
        <v>22205205</v>
      </c>
      <c r="AA691" s="671"/>
    </row>
    <row r="692" spans="26:27" x14ac:dyDescent="0.2">
      <c r="Z692" s="672">
        <v>22211001</v>
      </c>
      <c r="AA692" s="671"/>
    </row>
    <row r="693" spans="26:27" x14ac:dyDescent="0.2">
      <c r="Z693" s="672">
        <v>22211005</v>
      </c>
      <c r="AA693" s="671"/>
    </row>
    <row r="694" spans="26:27" x14ac:dyDescent="0.2">
      <c r="Z694" s="667">
        <v>22211101</v>
      </c>
      <c r="AA694" s="671"/>
    </row>
    <row r="695" spans="26:27" x14ac:dyDescent="0.2">
      <c r="Z695" s="667">
        <v>22211105</v>
      </c>
      <c r="AA695" s="671"/>
    </row>
    <row r="696" spans="26:27" x14ac:dyDescent="0.2">
      <c r="Z696" s="667">
        <v>22211201</v>
      </c>
      <c r="AA696" s="671"/>
    </row>
    <row r="697" spans="26:27" x14ac:dyDescent="0.2">
      <c r="Z697" s="667">
        <v>22211205</v>
      </c>
      <c r="AA697" s="671"/>
    </row>
    <row r="698" spans="26:27" x14ac:dyDescent="0.2">
      <c r="Z698" s="667">
        <v>22212001</v>
      </c>
      <c r="AA698" s="671"/>
    </row>
    <row r="699" spans="26:27" x14ac:dyDescent="0.2">
      <c r="Z699" s="667">
        <v>22212005</v>
      </c>
      <c r="AA699" s="671"/>
    </row>
    <row r="700" spans="26:27" x14ac:dyDescent="0.2">
      <c r="Z700" s="667">
        <v>22212101</v>
      </c>
      <c r="AA700" s="671"/>
    </row>
    <row r="701" spans="26:27" x14ac:dyDescent="0.2">
      <c r="Z701" s="667">
        <v>22212105</v>
      </c>
      <c r="AA701" s="671"/>
    </row>
    <row r="702" spans="26:27" x14ac:dyDescent="0.2">
      <c r="Z702" s="667">
        <v>22212201</v>
      </c>
      <c r="AA702" s="671"/>
    </row>
    <row r="703" spans="26:27" x14ac:dyDescent="0.2">
      <c r="Z703" s="667">
        <v>22212205</v>
      </c>
      <c r="AA703" s="671"/>
    </row>
    <row r="704" spans="26:27" x14ac:dyDescent="0.2">
      <c r="Z704" s="667">
        <v>22213001</v>
      </c>
      <c r="AA704" s="671"/>
    </row>
    <row r="705" spans="26:27" x14ac:dyDescent="0.2">
      <c r="Z705" s="667">
        <v>22213005</v>
      </c>
      <c r="AA705" s="671"/>
    </row>
    <row r="706" spans="26:27" x14ac:dyDescent="0.2">
      <c r="Z706" s="667">
        <v>22213101</v>
      </c>
      <c r="AA706" s="671"/>
    </row>
    <row r="707" spans="26:27" x14ac:dyDescent="0.2">
      <c r="Z707" s="667">
        <v>22213105</v>
      </c>
      <c r="AA707" s="671"/>
    </row>
    <row r="708" spans="26:27" x14ac:dyDescent="0.2">
      <c r="Z708" s="667">
        <v>22213201</v>
      </c>
      <c r="AA708" s="671"/>
    </row>
    <row r="709" spans="26:27" x14ac:dyDescent="0.2">
      <c r="Z709" s="667">
        <v>22213205</v>
      </c>
      <c r="AA709" s="671"/>
    </row>
    <row r="710" spans="26:27" x14ac:dyDescent="0.2">
      <c r="Z710" s="667">
        <v>22214001</v>
      </c>
      <c r="AA710" s="671"/>
    </row>
    <row r="711" spans="26:27" x14ac:dyDescent="0.2">
      <c r="Z711" s="667">
        <v>22214005</v>
      </c>
      <c r="AA711" s="671"/>
    </row>
    <row r="712" spans="26:27" x14ac:dyDescent="0.2">
      <c r="Z712" s="667">
        <v>22214101</v>
      </c>
      <c r="AA712" s="671"/>
    </row>
    <row r="713" spans="26:27" x14ac:dyDescent="0.2">
      <c r="Z713" s="667">
        <v>22214105</v>
      </c>
      <c r="AA713" s="671"/>
    </row>
    <row r="714" spans="26:27" x14ac:dyDescent="0.2">
      <c r="Z714" s="667">
        <v>22214201</v>
      </c>
      <c r="AA714" s="671"/>
    </row>
    <row r="715" spans="26:27" x14ac:dyDescent="0.2">
      <c r="Z715" s="667">
        <v>22214205</v>
      </c>
      <c r="AA715" s="671"/>
    </row>
    <row r="716" spans="26:27" x14ac:dyDescent="0.2">
      <c r="Z716" s="667">
        <v>22215001</v>
      </c>
      <c r="AA716" s="671"/>
    </row>
    <row r="717" spans="26:27" x14ac:dyDescent="0.2">
      <c r="Z717" s="667">
        <v>22215005</v>
      </c>
      <c r="AA717" s="671"/>
    </row>
    <row r="718" spans="26:27" x14ac:dyDescent="0.2">
      <c r="Z718" s="667">
        <v>22215101</v>
      </c>
      <c r="AA718" s="671"/>
    </row>
    <row r="719" spans="26:27" x14ac:dyDescent="0.2">
      <c r="Z719" s="667">
        <v>22215105</v>
      </c>
      <c r="AA719" s="671"/>
    </row>
    <row r="720" spans="26:27" x14ac:dyDescent="0.2">
      <c r="Z720" s="667">
        <v>22215201</v>
      </c>
      <c r="AA720" s="671"/>
    </row>
    <row r="721" spans="26:27" x14ac:dyDescent="0.2">
      <c r="Z721" s="667">
        <v>22215205</v>
      </c>
      <c r="AA721" s="671"/>
    </row>
    <row r="722" spans="26:27" x14ac:dyDescent="0.2">
      <c r="Z722" s="667">
        <v>50001001</v>
      </c>
      <c r="AA722" s="671"/>
    </row>
    <row r="723" spans="26:27" x14ac:dyDescent="0.2">
      <c r="Z723" s="667">
        <v>50001005</v>
      </c>
      <c r="AA723" s="671"/>
    </row>
    <row r="724" spans="26:27" x14ac:dyDescent="0.2">
      <c r="Z724" s="667">
        <v>50001101</v>
      </c>
      <c r="AA724" s="671"/>
    </row>
    <row r="725" spans="26:27" x14ac:dyDescent="0.2">
      <c r="Z725" s="667">
        <v>50001105</v>
      </c>
      <c r="AA725" s="671"/>
    </row>
    <row r="726" spans="26:27" x14ac:dyDescent="0.2">
      <c r="Z726" s="667">
        <v>50001201</v>
      </c>
      <c r="AA726" s="671"/>
    </row>
    <row r="727" spans="26:27" x14ac:dyDescent="0.2">
      <c r="Z727" s="667">
        <v>50001205</v>
      </c>
      <c r="AA727" s="671"/>
    </row>
    <row r="728" spans="26:27" x14ac:dyDescent="0.2">
      <c r="Z728" s="667">
        <v>50002001</v>
      </c>
      <c r="AA728" s="671"/>
    </row>
    <row r="729" spans="26:27" x14ac:dyDescent="0.2">
      <c r="Z729" s="667">
        <v>50002005</v>
      </c>
      <c r="AA729" s="671"/>
    </row>
    <row r="730" spans="26:27" x14ac:dyDescent="0.2">
      <c r="Z730" s="667">
        <v>50002101</v>
      </c>
      <c r="AA730" s="671"/>
    </row>
    <row r="731" spans="26:27" x14ac:dyDescent="0.2">
      <c r="Z731" s="667">
        <v>50002105</v>
      </c>
      <c r="AA731" s="671"/>
    </row>
    <row r="732" spans="26:27" x14ac:dyDescent="0.2">
      <c r="Z732" s="667">
        <v>50002201</v>
      </c>
    </row>
    <row r="733" spans="26:27" x14ac:dyDescent="0.2">
      <c r="Z733" s="667">
        <v>50002205</v>
      </c>
    </row>
    <row r="734" spans="26:27" x14ac:dyDescent="0.2">
      <c r="Z734" s="667">
        <v>50003001</v>
      </c>
    </row>
    <row r="735" spans="26:27" x14ac:dyDescent="0.2">
      <c r="Z735" s="667">
        <v>50003005</v>
      </c>
    </row>
    <row r="736" spans="26:27" x14ac:dyDescent="0.2">
      <c r="Z736" s="667">
        <v>50003101</v>
      </c>
    </row>
    <row r="737" spans="26:26" x14ac:dyDescent="0.2">
      <c r="Z737" s="667">
        <v>50003105</v>
      </c>
    </row>
    <row r="738" spans="26:26" x14ac:dyDescent="0.2">
      <c r="Z738" s="667">
        <v>50003201</v>
      </c>
    </row>
    <row r="739" spans="26:26" x14ac:dyDescent="0.2">
      <c r="Z739" s="667">
        <v>50003205</v>
      </c>
    </row>
    <row r="740" spans="26:26" x14ac:dyDescent="0.2">
      <c r="Z740" s="667">
        <v>50004001</v>
      </c>
    </row>
    <row r="741" spans="26:26" x14ac:dyDescent="0.2">
      <c r="Z741" s="667">
        <v>50004005</v>
      </c>
    </row>
    <row r="742" spans="26:26" x14ac:dyDescent="0.2">
      <c r="Z742" s="667">
        <v>50004101</v>
      </c>
    </row>
    <row r="743" spans="26:26" x14ac:dyDescent="0.2">
      <c r="Z743" s="667">
        <v>50004105</v>
      </c>
    </row>
    <row r="744" spans="26:26" x14ac:dyDescent="0.2">
      <c r="Z744" s="667">
        <v>50004201</v>
      </c>
    </row>
    <row r="745" spans="26:26" x14ac:dyDescent="0.2">
      <c r="Z745" s="667">
        <v>50004205</v>
      </c>
    </row>
    <row r="746" spans="26:26" x14ac:dyDescent="0.2">
      <c r="Z746" s="667">
        <v>50005001</v>
      </c>
    </row>
    <row r="747" spans="26:26" x14ac:dyDescent="0.2">
      <c r="Z747" s="667">
        <v>50005005</v>
      </c>
    </row>
    <row r="748" spans="26:26" x14ac:dyDescent="0.2">
      <c r="Z748" s="667">
        <v>50005101</v>
      </c>
    </row>
    <row r="749" spans="26:26" x14ac:dyDescent="0.2">
      <c r="Z749" s="667">
        <v>50005105</v>
      </c>
    </row>
    <row r="750" spans="26:26" x14ac:dyDescent="0.2">
      <c r="Z750" s="667">
        <v>50005201</v>
      </c>
    </row>
    <row r="751" spans="26:26" x14ac:dyDescent="0.2">
      <c r="Z751" s="667">
        <v>50005205</v>
      </c>
    </row>
  </sheetData>
  <sheetProtection algorithmName="SHA-512" hashValue="+P8QlR1clVk5vLq3RSJ1t/gssQ79tci+jJioBS4D3Ifvii1RYckTMYjSanVvHr5ephM4aipp12fUvO8worYxzg==" saltValue="V6N2ihIOeLOlmhN/fvsJEA==" spinCount="100000" sheet="1" objects="1" scenarios="1"/>
  <phoneticPr fontId="8" type="noConversion"/>
  <pageMargins left="0.7" right="0.7" top="0.78740157499999996" bottom="0.78740157499999996" header="0.3" footer="0.3"/>
  <pageSetup paperSize="9" orientation="portrait" r:id="rId1"/>
  <headerFooter alignWithMargins="0"/>
  <customProperties>
    <customPr name="SSCSheetTrackingNo"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F81"/>
  <sheetViews>
    <sheetView showGridLines="0" zoomScale="90" zoomScaleNormal="90" workbookViewId="0">
      <pane xSplit="3" ySplit="3" topLeftCell="L38" activePane="bottomRight" state="frozen"/>
      <selection activeCell="C24" sqref="C24"/>
      <selection pane="topRight" activeCell="C24" sqref="C24"/>
      <selection pane="bottomLeft" activeCell="C24" sqref="C24"/>
      <selection pane="bottomRight" activeCell="AC79" sqref="AC79"/>
    </sheetView>
  </sheetViews>
  <sheetFormatPr baseColWidth="10" defaultColWidth="11.44140625" defaultRowHeight="13.2" x14ac:dyDescent="0.25"/>
  <cols>
    <col min="1" max="1" width="10.44140625" style="119" bestFit="1" customWidth="1"/>
    <col min="2" max="2" width="5" style="45" customWidth="1"/>
    <col min="3" max="3" width="7.88671875" style="119" customWidth="1"/>
    <col min="4" max="4" width="12.6640625" style="545" customWidth="1"/>
    <col min="5" max="5" width="7.5546875" style="125" customWidth="1"/>
    <col min="6" max="6" width="6.109375" style="125" customWidth="1"/>
    <col min="7" max="7" width="7.88671875" style="91" bestFit="1" customWidth="1"/>
    <col min="8" max="10" width="6.5546875" style="148" bestFit="1" customWidth="1"/>
    <col min="11" max="11" width="9" style="112" customWidth="1"/>
    <col min="12" max="13" width="11.5546875" style="545" bestFit="1" customWidth="1"/>
    <col min="14" max="14" width="5.5546875" style="134" bestFit="1" customWidth="1"/>
    <col min="15" max="15" width="10.109375" style="545" bestFit="1" customWidth="1"/>
    <col min="16" max="17" width="11.5546875" style="545" bestFit="1" customWidth="1"/>
    <col min="18" max="18" width="10.109375" style="125" bestFit="1" customWidth="1"/>
    <col min="19" max="19" width="12" style="125" customWidth="1"/>
    <col min="20" max="20" width="10.44140625" style="125" customWidth="1"/>
    <col min="21" max="21" width="10.44140625" style="125" bestFit="1" customWidth="1"/>
    <col min="22" max="22" width="11" style="125" bestFit="1" customWidth="1"/>
    <col min="23" max="23" width="9.88671875" style="132" bestFit="1" customWidth="1"/>
    <col min="24" max="25" width="9" style="112" customWidth="1"/>
    <col min="26" max="16384" width="11.44140625" style="45"/>
  </cols>
  <sheetData>
    <row r="1" spans="1:27" ht="27.75" customHeight="1" x14ac:dyDescent="0.25">
      <c r="A1" s="118" t="s">
        <v>1112</v>
      </c>
      <c r="G1" s="133"/>
      <c r="H1" s="145"/>
      <c r="I1" s="145"/>
      <c r="J1" s="145"/>
      <c r="R1" s="545"/>
      <c r="W1" s="125"/>
      <c r="X1" s="125"/>
      <c r="Y1" s="132"/>
      <c r="Z1" s="112"/>
      <c r="AA1" s="112"/>
    </row>
    <row r="2" spans="1:27" ht="14.25" customHeight="1" x14ac:dyDescent="0.25">
      <c r="A2" s="126"/>
      <c r="C2" s="126"/>
      <c r="D2" s="546"/>
      <c r="E2" s="126"/>
      <c r="F2" s="126"/>
      <c r="G2" s="127"/>
      <c r="H2" s="146"/>
      <c r="I2" s="146"/>
      <c r="J2" s="146"/>
      <c r="K2" s="126"/>
      <c r="L2" s="546"/>
      <c r="M2" s="546"/>
      <c r="N2" s="127"/>
      <c r="O2" s="546"/>
      <c r="P2" s="546"/>
      <c r="Q2" s="546"/>
      <c r="R2" s="546"/>
      <c r="W2" s="125"/>
      <c r="X2" s="125"/>
      <c r="Y2" s="132"/>
      <c r="Z2" s="126"/>
      <c r="AA2" s="126"/>
    </row>
    <row r="3" spans="1:27" s="129" customFormat="1" ht="26.25" customHeight="1" x14ac:dyDescent="0.25">
      <c r="A3" s="84" t="s">
        <v>990</v>
      </c>
      <c r="B3" s="85" t="s">
        <v>1117</v>
      </c>
      <c r="C3" s="84" t="s">
        <v>1092</v>
      </c>
      <c r="D3" s="547" t="s">
        <v>1101</v>
      </c>
      <c r="E3" s="128" t="s">
        <v>971</v>
      </c>
      <c r="F3" s="128" t="s">
        <v>972</v>
      </c>
      <c r="G3" s="131" t="s">
        <v>1273</v>
      </c>
      <c r="H3" s="152" t="s">
        <v>1134</v>
      </c>
      <c r="I3" s="152" t="s">
        <v>1135</v>
      </c>
      <c r="J3" s="152" t="s">
        <v>1136</v>
      </c>
      <c r="K3" s="130" t="s">
        <v>1116</v>
      </c>
      <c r="L3" s="550" t="s">
        <v>1111</v>
      </c>
      <c r="M3" s="550" t="str">
        <f>CONCATENATE("Guthaben   ",Input!J9," Mt.")</f>
        <v>Guthaben   1 Mt.</v>
      </c>
      <c r="N3" s="135" t="s">
        <v>1115</v>
      </c>
      <c r="O3" s="550" t="s">
        <v>1123</v>
      </c>
      <c r="P3" s="554" t="s">
        <v>1160</v>
      </c>
      <c r="Q3" s="554" t="str">
        <f>CONCATENATE("Guthaben   
o.Z. ",Input!J9)</f>
        <v>Guthaben   
o.Z. 1</v>
      </c>
      <c r="R3" s="554" t="s">
        <v>2029</v>
      </c>
      <c r="S3" s="561" t="s">
        <v>1110</v>
      </c>
      <c r="T3" s="945" t="s">
        <v>2030</v>
      </c>
      <c r="U3" s="566" t="s">
        <v>1119</v>
      </c>
      <c r="V3" s="566" t="str">
        <f>CONCATENATE("BVG Min.:
Guth. ",Input!J9," Mt.")</f>
        <v>BVG Min.:
Guth. 1 Mt.</v>
      </c>
      <c r="W3" s="566" t="s">
        <v>1121</v>
      </c>
      <c r="X3" s="566" t="s">
        <v>1122</v>
      </c>
      <c r="Y3" s="138" t="s">
        <v>1124</v>
      </c>
      <c r="Z3" s="658" t="s">
        <v>832</v>
      </c>
      <c r="AA3" s="658" t="s">
        <v>833</v>
      </c>
    </row>
    <row r="4" spans="1:27" ht="14.25" customHeight="1" thickBot="1" x14ac:dyDescent="0.3">
      <c r="A4" s="120"/>
      <c r="B4" s="120"/>
      <c r="C4" s="120"/>
      <c r="D4" s="548"/>
      <c r="E4" s="780">
        <f>Input!J32</f>
        <v>3</v>
      </c>
      <c r="F4" s="120"/>
      <c r="G4" s="688"/>
      <c r="H4" s="147"/>
      <c r="I4" s="147"/>
      <c r="J4" s="147"/>
      <c r="K4" s="120"/>
      <c r="L4" s="551">
        <f>Input!E51</f>
        <v>0</v>
      </c>
      <c r="M4" s="551">
        <f>Input!E51</f>
        <v>0</v>
      </c>
      <c r="N4" s="121"/>
      <c r="O4" s="548"/>
      <c r="P4" s="551">
        <f>L4</f>
        <v>0</v>
      </c>
      <c r="Q4" s="551">
        <f>M4</f>
        <v>0</v>
      </c>
      <c r="R4" s="551"/>
      <c r="S4" s="551">
        <f>IF(Beitrag!B4&lt;Beitrag!Q5,0,IF((Beitrag!B4-Beitrag!Q6)&lt;Beitrag!Q3,VLOOKUP(2,Beitrag!V6:AE6,YEAR(Input!E15)-2014),IF(Beitrag!B4&gt;Beitrag!Q8,Beitrag!Q7,Beitrag!B4-Beitrag!Q6)))</f>
        <v>62475</v>
      </c>
      <c r="T4" s="551"/>
      <c r="U4" s="551">
        <f>Input!E52</f>
        <v>0</v>
      </c>
      <c r="V4" s="551">
        <f>U4</f>
        <v>0</v>
      </c>
      <c r="W4" s="548"/>
      <c r="X4" s="548"/>
      <c r="Y4" s="113"/>
      <c r="Z4" s="120"/>
      <c r="AA4" s="120"/>
    </row>
    <row r="5" spans="1:27" ht="14.25" customHeight="1" x14ac:dyDescent="0.25">
      <c r="A5" s="771">
        <v>18</v>
      </c>
      <c r="B5" s="772">
        <v>0</v>
      </c>
      <c r="C5" s="773">
        <f>A5+Input!$J$10</f>
        <v>2003</v>
      </c>
      <c r="D5" s="774">
        <f>Input!$E$24</f>
        <v>100000</v>
      </c>
      <c r="E5" s="774">
        <f>IF($E$4=1,$E$12,0)</f>
        <v>0</v>
      </c>
      <c r="F5" s="774">
        <f>IF($E$4=1,$F$12,0)</f>
        <v>0</v>
      </c>
      <c r="G5" s="775">
        <f>IF(C5&lt;2010,0,VLOOKUP(C5,Beitrag!$A$73:$D$163,4))</f>
        <v>0</v>
      </c>
      <c r="H5" s="773">
        <f>IF(C5=YEAR(Input!$E$15),13-MONTH(Input!$E$15),12)</f>
        <v>12</v>
      </c>
      <c r="I5" s="773">
        <f>Input!$J$9</f>
        <v>1</v>
      </c>
      <c r="J5" s="773">
        <f t="shared" ref="J5:J12" si="0">IF(H5=12,12,IF((I5+H5-12)&lt;1,0,I5+H5-12))</f>
        <v>12</v>
      </c>
      <c r="K5" s="776">
        <f>IF((Input!$K$2-1)&lt;A5,D5*(E5+F5)%,0)</f>
        <v>0</v>
      </c>
      <c r="L5" s="774">
        <f>IF(K5=0,L4,L4+L4*G5/12*H5+K5/12*H5)</f>
        <v>0</v>
      </c>
      <c r="M5" s="774">
        <f>IF(K5=0,L4,IF(H5&lt;&gt;12,L4+L4*G5/12*J5+K5/12*J5,L4+L4*G5/12*I5+K5/12*I5))</f>
        <v>0</v>
      </c>
      <c r="N5" s="777"/>
      <c r="O5" s="774"/>
      <c r="P5" s="774">
        <f>IF(K5=0,P4,P4+K5/12*H5)</f>
        <v>0</v>
      </c>
      <c r="Q5" s="774">
        <f>IF(K5=0,P4,IF(H5&lt;&gt;12,P4+K5/12*J5,P4+K5/12*I5))</f>
        <v>0</v>
      </c>
      <c r="R5" s="774"/>
      <c r="S5" s="778"/>
      <c r="T5" s="775">
        <f>IF(C5&lt;2010,0,Beitrag!O73)</f>
        <v>0</v>
      </c>
      <c r="U5" s="778"/>
      <c r="V5" s="778"/>
      <c r="W5" s="778"/>
      <c r="X5" s="778"/>
      <c r="Y5" s="779"/>
      <c r="Z5" s="776">
        <f>IF((Input!$K$2-1)&lt;A5,D5*(E5+F5)%,0)</f>
        <v>0</v>
      </c>
      <c r="AA5" s="776">
        <f t="shared" ref="AA5:AA11" si="1">Z5</f>
        <v>0</v>
      </c>
    </row>
    <row r="6" spans="1:27" ht="14.25" customHeight="1" x14ac:dyDescent="0.25">
      <c r="A6" s="771">
        <v>19</v>
      </c>
      <c r="B6" s="772">
        <v>0</v>
      </c>
      <c r="C6" s="773">
        <f>A6+Input!$J$10</f>
        <v>2004</v>
      </c>
      <c r="D6" s="774">
        <f>Input!$E$24</f>
        <v>100000</v>
      </c>
      <c r="E6" s="774">
        <f>IF($E$4=1,$E$12,0)</f>
        <v>0</v>
      </c>
      <c r="F6" s="774">
        <f>IF($E$4=1,$F$12,0)</f>
        <v>0</v>
      </c>
      <c r="G6" s="775">
        <f>IF(C6&lt;2010,0,VLOOKUP(C6,Beitrag!$A$73:$D$163,4))</f>
        <v>0</v>
      </c>
      <c r="H6" s="773">
        <f>IF(C6=YEAR(Input!$E$15),13-MONTH(Input!$E$15),12)</f>
        <v>12</v>
      </c>
      <c r="I6" s="773">
        <f>Input!$J$9</f>
        <v>1</v>
      </c>
      <c r="J6" s="773">
        <f t="shared" si="0"/>
        <v>12</v>
      </c>
      <c r="K6" s="776">
        <f>IF((Input!$K$2-1)&lt;A6,D6*(E6+F6)%,0)</f>
        <v>0</v>
      </c>
      <c r="L6" s="774">
        <f t="shared" ref="L6:L12" si="2">IF(K6=0,L5,L5+L5*G6/12*H6+K6/12*H6)</f>
        <v>0</v>
      </c>
      <c r="M6" s="774">
        <f t="shared" ref="M6:M12" si="3">IF(K6=0,L5,IF(H6&lt;&gt;12,L5+L5*G6/12*J6+K6/12*J6,L5+L5*G6/12*I6+K6/12*I6))</f>
        <v>0</v>
      </c>
      <c r="N6" s="777"/>
      <c r="O6" s="774"/>
      <c r="P6" s="774">
        <f t="shared" ref="P6:P12" si="4">IF(K6=0,P5,P5+K6/12*H6)</f>
        <v>0</v>
      </c>
      <c r="Q6" s="774">
        <f t="shared" ref="Q6:Q12" si="5">IF(K6=0,P5,IF(H6&lt;&gt;12,P5+K6/12*J6,P5+K6/12*I6))</f>
        <v>0</v>
      </c>
      <c r="R6" s="774"/>
      <c r="S6" s="778"/>
      <c r="T6" s="775">
        <f>IF(C6&lt;2010,0,Beitrag!O73)</f>
        <v>0</v>
      </c>
      <c r="U6" s="778"/>
      <c r="V6" s="778"/>
      <c r="W6" s="778"/>
      <c r="X6" s="778"/>
      <c r="Y6" s="779"/>
      <c r="Z6" s="776">
        <f>IF((Input!$K$2-1)&lt;A6,D6*(E6+F6)%,0)</f>
        <v>0</v>
      </c>
      <c r="AA6" s="776">
        <f t="shared" si="1"/>
        <v>0</v>
      </c>
    </row>
    <row r="7" spans="1:27" ht="14.25" customHeight="1" x14ac:dyDescent="0.25">
      <c r="A7" s="771">
        <v>20</v>
      </c>
      <c r="B7" s="772">
        <v>1</v>
      </c>
      <c r="C7" s="773">
        <f>A7+Input!$J$10</f>
        <v>2005</v>
      </c>
      <c r="D7" s="774">
        <f>Input!$E$24</f>
        <v>100000</v>
      </c>
      <c r="E7" s="774">
        <f>IF($E$4&lt;&gt;3,$E$12,0)</f>
        <v>0</v>
      </c>
      <c r="F7" s="774">
        <f>IF($E$4&lt;&gt;3,$F$12,0)</f>
        <v>0</v>
      </c>
      <c r="G7" s="775">
        <f>IF(C7&lt;2010,0,VLOOKUP(C7,Beitrag!$A$73:$D$163,4))</f>
        <v>0</v>
      </c>
      <c r="H7" s="773">
        <f>IF(C7=YEAR(Input!$E$15),13-MONTH(Input!$E$15),12)</f>
        <v>12</v>
      </c>
      <c r="I7" s="773">
        <f>Input!$J$9</f>
        <v>1</v>
      </c>
      <c r="J7" s="773">
        <f t="shared" si="0"/>
        <v>12</v>
      </c>
      <c r="K7" s="776">
        <f>IF((Input!$K$2-1)&lt;A7,D7*(E7+F7)%,0)</f>
        <v>0</v>
      </c>
      <c r="L7" s="774">
        <f t="shared" si="2"/>
        <v>0</v>
      </c>
      <c r="M7" s="774">
        <f t="shared" si="3"/>
        <v>0</v>
      </c>
      <c r="N7" s="777"/>
      <c r="O7" s="774"/>
      <c r="P7" s="774">
        <f t="shared" si="4"/>
        <v>0</v>
      </c>
      <c r="Q7" s="774">
        <f t="shared" si="5"/>
        <v>0</v>
      </c>
      <c r="R7" s="774"/>
      <c r="S7" s="778"/>
      <c r="T7" s="775">
        <f>IF(C7&lt;2010,0,Beitrag!O73)</f>
        <v>0</v>
      </c>
      <c r="U7" s="778"/>
      <c r="V7" s="778"/>
      <c r="W7" s="778"/>
      <c r="X7" s="778"/>
      <c r="Y7" s="779"/>
      <c r="Z7" s="776">
        <f>IF((Input!$K$2-1)&lt;A7,D7*(E7+F7)%,0)</f>
        <v>0</v>
      </c>
      <c r="AA7" s="776">
        <f t="shared" si="1"/>
        <v>0</v>
      </c>
    </row>
    <row r="8" spans="1:27" ht="14.25" customHeight="1" x14ac:dyDescent="0.25">
      <c r="A8" s="771">
        <v>21</v>
      </c>
      <c r="B8" s="772">
        <v>1</v>
      </c>
      <c r="C8" s="773">
        <f>A8+Input!$J$10</f>
        <v>2006</v>
      </c>
      <c r="D8" s="774">
        <f>Input!$E$24</f>
        <v>100000</v>
      </c>
      <c r="E8" s="774">
        <f>IF($E$4&lt;&gt;3,$E$12,0)</f>
        <v>0</v>
      </c>
      <c r="F8" s="774">
        <f>IF($E$4&lt;&gt;3,$F$12,0)</f>
        <v>0</v>
      </c>
      <c r="G8" s="775">
        <f>IF(C8&lt;2010,0,VLOOKUP(C8,Beitrag!$A$73:$D$163,4))</f>
        <v>0</v>
      </c>
      <c r="H8" s="773">
        <f>IF(C8=YEAR(Input!$E$15),13-MONTH(Input!$E$15),12)</f>
        <v>12</v>
      </c>
      <c r="I8" s="773">
        <f>Input!$J$9</f>
        <v>1</v>
      </c>
      <c r="J8" s="773">
        <f t="shared" si="0"/>
        <v>12</v>
      </c>
      <c r="K8" s="776">
        <f>IF((Input!$K$2-1)&lt;A8,D8*(E8+F8)%,0)</f>
        <v>0</v>
      </c>
      <c r="L8" s="774">
        <f t="shared" si="2"/>
        <v>0</v>
      </c>
      <c r="M8" s="774">
        <f t="shared" si="3"/>
        <v>0</v>
      </c>
      <c r="N8" s="777"/>
      <c r="O8" s="774"/>
      <c r="P8" s="774">
        <f t="shared" si="4"/>
        <v>0</v>
      </c>
      <c r="Q8" s="774">
        <f t="shared" si="5"/>
        <v>0</v>
      </c>
      <c r="R8" s="774"/>
      <c r="S8" s="778"/>
      <c r="T8" s="775">
        <f>IF(C8&lt;2010,0,Beitrag!O73)</f>
        <v>0</v>
      </c>
      <c r="U8" s="778"/>
      <c r="V8" s="778"/>
      <c r="W8" s="778"/>
      <c r="X8" s="778"/>
      <c r="Y8" s="779"/>
      <c r="Z8" s="776">
        <f>IF((Input!$K$2-1)&lt;A8,D8*(E8+F8)%,0)</f>
        <v>0</v>
      </c>
      <c r="AA8" s="776">
        <f t="shared" si="1"/>
        <v>0</v>
      </c>
    </row>
    <row r="9" spans="1:27" ht="14.25" customHeight="1" x14ac:dyDescent="0.25">
      <c r="A9" s="771">
        <v>22</v>
      </c>
      <c r="B9" s="772">
        <v>1</v>
      </c>
      <c r="C9" s="773">
        <f>A9+Input!$J$10</f>
        <v>2007</v>
      </c>
      <c r="D9" s="774">
        <f>Input!$E$24</f>
        <v>100000</v>
      </c>
      <c r="E9" s="774">
        <f>IF($E$4&lt;&gt;3,$E$12,0)</f>
        <v>0</v>
      </c>
      <c r="F9" s="774">
        <f>IF($E$4&lt;&gt;3,$F$12,0)</f>
        <v>0</v>
      </c>
      <c r="G9" s="775">
        <f>IF(C9&lt;2010,0,VLOOKUP(C9,Beitrag!$A$73:$D$163,4))</f>
        <v>0</v>
      </c>
      <c r="H9" s="773">
        <f>IF(C9=YEAR(Input!$E$15),13-MONTH(Input!$E$15),12)</f>
        <v>12</v>
      </c>
      <c r="I9" s="773">
        <f>Input!$J$9</f>
        <v>1</v>
      </c>
      <c r="J9" s="773">
        <f t="shared" si="0"/>
        <v>12</v>
      </c>
      <c r="K9" s="776">
        <f>IF((Input!$K$2-1)&lt;A9,D9*(E9+F9)%,0)</f>
        <v>0</v>
      </c>
      <c r="L9" s="774">
        <f t="shared" si="2"/>
        <v>0</v>
      </c>
      <c r="M9" s="774">
        <f t="shared" si="3"/>
        <v>0</v>
      </c>
      <c r="N9" s="777"/>
      <c r="O9" s="774"/>
      <c r="P9" s="774">
        <f t="shared" si="4"/>
        <v>0</v>
      </c>
      <c r="Q9" s="774">
        <f t="shared" si="5"/>
        <v>0</v>
      </c>
      <c r="R9" s="774"/>
      <c r="S9" s="778"/>
      <c r="T9" s="775">
        <f>IF(C9&lt;2010,0,Beitrag!O73)</f>
        <v>0</v>
      </c>
      <c r="U9" s="778"/>
      <c r="V9" s="778"/>
      <c r="W9" s="778"/>
      <c r="X9" s="778"/>
      <c r="Y9" s="779"/>
      <c r="Z9" s="776">
        <f>IF((Input!$K$2-1)&lt;A9,D9*(E9+F9)%,0)</f>
        <v>0</v>
      </c>
      <c r="AA9" s="776">
        <f t="shared" si="1"/>
        <v>0</v>
      </c>
    </row>
    <row r="10" spans="1:27" ht="14.25" customHeight="1" x14ac:dyDescent="0.25">
      <c r="A10" s="771">
        <v>23</v>
      </c>
      <c r="B10" s="772">
        <v>1</v>
      </c>
      <c r="C10" s="773">
        <f>A10+Input!$J$10</f>
        <v>2008</v>
      </c>
      <c r="D10" s="774">
        <f>Input!$E$24</f>
        <v>100000</v>
      </c>
      <c r="E10" s="774">
        <f>IF($E$4&lt;&gt;3,$E$12,0)</f>
        <v>0</v>
      </c>
      <c r="F10" s="774">
        <f>IF($E$4&lt;&gt;3,$F$12,0)</f>
        <v>0</v>
      </c>
      <c r="G10" s="775">
        <f>IF(C10&lt;2010,0,VLOOKUP(C10,Beitrag!$A$73:$D$163,4))</f>
        <v>0</v>
      </c>
      <c r="H10" s="773">
        <f>IF(C10=YEAR(Input!$E$15),13-MONTH(Input!$E$15),12)</f>
        <v>12</v>
      </c>
      <c r="I10" s="773">
        <f>Input!$J$9</f>
        <v>1</v>
      </c>
      <c r="J10" s="773">
        <f t="shared" si="0"/>
        <v>12</v>
      </c>
      <c r="K10" s="776">
        <f>IF((Input!$K$2-1)&lt;A10,D10*(E10+F10)%,0)</f>
        <v>0</v>
      </c>
      <c r="L10" s="774">
        <f t="shared" si="2"/>
        <v>0</v>
      </c>
      <c r="M10" s="774">
        <f t="shared" si="3"/>
        <v>0</v>
      </c>
      <c r="N10" s="777"/>
      <c r="O10" s="774"/>
      <c r="P10" s="774">
        <f t="shared" si="4"/>
        <v>0</v>
      </c>
      <c r="Q10" s="774">
        <f t="shared" si="5"/>
        <v>0</v>
      </c>
      <c r="R10" s="774"/>
      <c r="S10" s="778"/>
      <c r="T10" s="775">
        <f>IF(C10&lt;2010,0,Beitrag!O73)</f>
        <v>0</v>
      </c>
      <c r="U10" s="778"/>
      <c r="V10" s="778"/>
      <c r="W10" s="778"/>
      <c r="X10" s="778"/>
      <c r="Y10" s="779"/>
      <c r="Z10" s="776">
        <f>IF((Input!$K$2-1)&lt;A10,D10*(E10+F10)%,0)</f>
        <v>0</v>
      </c>
      <c r="AA10" s="776">
        <f t="shared" si="1"/>
        <v>0</v>
      </c>
    </row>
    <row r="11" spans="1:27" ht="14.25" customHeight="1" x14ac:dyDescent="0.25">
      <c r="A11" s="771">
        <v>24</v>
      </c>
      <c r="B11" s="772">
        <v>1</v>
      </c>
      <c r="C11" s="773">
        <f>A11+Input!$J$10</f>
        <v>2009</v>
      </c>
      <c r="D11" s="774">
        <f>Input!$E$24</f>
        <v>100000</v>
      </c>
      <c r="E11" s="774">
        <f>IF($E$4&lt;&gt;3,$E$12,0)</f>
        <v>0</v>
      </c>
      <c r="F11" s="774">
        <f>IF($E$4&lt;&gt;3,$F$12,0)</f>
        <v>0</v>
      </c>
      <c r="G11" s="775">
        <f>IF(C11&lt;2010,0,VLOOKUP(C11,Beitrag!$A$73:$D$163,4))</f>
        <v>0</v>
      </c>
      <c r="H11" s="773">
        <f>IF(C11=YEAR(Input!$E$15),13-MONTH(Input!$E$15),12)</f>
        <v>12</v>
      </c>
      <c r="I11" s="773">
        <f>Input!$J$9</f>
        <v>1</v>
      </c>
      <c r="J11" s="773">
        <f t="shared" si="0"/>
        <v>12</v>
      </c>
      <c r="K11" s="776">
        <f>IF((Input!$K$2-1)&lt;A11,D11*(E11+F11)%,0)</f>
        <v>0</v>
      </c>
      <c r="L11" s="774">
        <f t="shared" si="2"/>
        <v>0</v>
      </c>
      <c r="M11" s="774">
        <f t="shared" si="3"/>
        <v>0</v>
      </c>
      <c r="N11" s="777"/>
      <c r="O11" s="774"/>
      <c r="P11" s="774">
        <f t="shared" si="4"/>
        <v>0</v>
      </c>
      <c r="Q11" s="774">
        <f t="shared" si="5"/>
        <v>0</v>
      </c>
      <c r="R11" s="774"/>
      <c r="S11" s="778"/>
      <c r="T11" s="775">
        <f>IF(C11&lt;2010,0,Beitrag!O73)</f>
        <v>0</v>
      </c>
      <c r="U11" s="778"/>
      <c r="V11" s="778"/>
      <c r="W11" s="778"/>
      <c r="X11" s="778"/>
      <c r="Y11" s="779"/>
      <c r="Z11" s="776">
        <f>IF((Input!$K$2-1)&lt;A11,D11*(E11+F11)%,0)</f>
        <v>0</v>
      </c>
      <c r="AA11" s="776">
        <f t="shared" si="1"/>
        <v>0</v>
      </c>
    </row>
    <row r="12" spans="1:27" ht="14.25" customHeight="1" x14ac:dyDescent="0.25">
      <c r="A12" s="122">
        <v>25</v>
      </c>
      <c r="B12" s="120">
        <v>2</v>
      </c>
      <c r="C12" s="123">
        <f>A12+Input!$J$10</f>
        <v>2010</v>
      </c>
      <c r="D12" s="549">
        <f>Input!$E$24</f>
        <v>100000</v>
      </c>
      <c r="E12" s="136">
        <f>VLOOKUP(VLOOKUP(A12,Input!$T$1:$U$92,2),Beitrag!$B$19:$N$23,Input!$K$25+1)</f>
        <v>7</v>
      </c>
      <c r="F12" s="136">
        <f>VLOOKUP(VLOOKUP(A12,Input!$T$1:$U$92,2),Beitrag!$B$19:$N$23,Input!$K$36+10)</f>
        <v>0</v>
      </c>
      <c r="G12" s="215">
        <f>IF(C12&lt;2010,0,VLOOKUP(C12,Beitrag!$A$73:$D$163,4))</f>
        <v>1.4999999999999999E-2</v>
      </c>
      <c r="H12" s="123">
        <f>IF(C12=YEAR(Input!$E$15),13-MONTH(Input!$E$15),12)</f>
        <v>12</v>
      </c>
      <c r="I12" s="123">
        <f>Input!$J$9</f>
        <v>1</v>
      </c>
      <c r="J12" s="123">
        <f t="shared" si="0"/>
        <v>12</v>
      </c>
      <c r="K12" s="114">
        <f>IF((Input!$K$2-1)&lt;A12,D12*(E12+F12)%,0)</f>
        <v>0</v>
      </c>
      <c r="L12" s="549">
        <f t="shared" si="2"/>
        <v>0</v>
      </c>
      <c r="M12" s="549">
        <f t="shared" si="3"/>
        <v>0</v>
      </c>
      <c r="N12" s="136"/>
      <c r="O12" s="549"/>
      <c r="P12" s="549">
        <f t="shared" si="4"/>
        <v>0</v>
      </c>
      <c r="Q12" s="549">
        <f t="shared" si="5"/>
        <v>0</v>
      </c>
      <c r="R12" s="942"/>
      <c r="S12" s="562">
        <f>IF((Input!$K$2-1)&lt;A12,(S$4*VLOOKUP(B12,Beitrag!$B$19:$C$24,2)%)/12*H12,0)</f>
        <v>0</v>
      </c>
      <c r="T12" s="215">
        <f>IF(C12&lt;2010,0,Beitrag!O73)</f>
        <v>0.01</v>
      </c>
      <c r="U12" s="549">
        <f>IF(S12=0,U4,U4+U4*T12/12*H12+S12)</f>
        <v>0</v>
      </c>
      <c r="V12" s="549">
        <f>IF(S12=0,U4,IF(H12&lt;&gt;12,U4+U4*T12/12*J12+S12,U4+U4*T12/12*I12+S12))</f>
        <v>0</v>
      </c>
      <c r="W12" s="548"/>
      <c r="X12" s="548"/>
      <c r="Y12" s="113"/>
      <c r="Z12" s="114">
        <f>IF((Input!$K$2-1)&lt;A12,D12*(E12+F12)%,0)</f>
        <v>0</v>
      </c>
      <c r="AA12" s="114">
        <f>Z12</f>
        <v>0</v>
      </c>
    </row>
    <row r="13" spans="1:27" ht="14.25" customHeight="1" x14ac:dyDescent="0.25">
      <c r="A13" s="122">
        <v>26</v>
      </c>
      <c r="B13" s="120">
        <v>2</v>
      </c>
      <c r="C13" s="123">
        <f>A13+Input!$J$10</f>
        <v>2011</v>
      </c>
      <c r="D13" s="549">
        <f>Input!$E$24</f>
        <v>100000</v>
      </c>
      <c r="E13" s="136">
        <f>VLOOKUP(VLOOKUP(A13,Input!$T$1:$U$92,2),Beitrag!$B$19:$N$23,Input!$K$25+1)</f>
        <v>7</v>
      </c>
      <c r="F13" s="136">
        <f>VLOOKUP(VLOOKUP(A13,Input!$T$1:$U$92,2),Beitrag!$B$19:$N$23,Input!$K$36+10)</f>
        <v>0</v>
      </c>
      <c r="G13" s="215">
        <f>IF(C13&lt;2010,0,VLOOKUP(C13,Beitrag!$A$73:$D$163,4))</f>
        <v>1.4999999999999999E-2</v>
      </c>
      <c r="H13" s="123">
        <f>IF(C13=YEAR(Input!$E$15),13-MONTH(Input!$E$15),12)</f>
        <v>12</v>
      </c>
      <c r="I13" s="123">
        <f>Input!$J$9</f>
        <v>1</v>
      </c>
      <c r="J13" s="123">
        <f>IF(H13=12,12,IF((I13+H13-12)&lt;1,0,I13+H13-12))</f>
        <v>12</v>
      </c>
      <c r="K13" s="114">
        <f>IF((Input!$K$2-1)&lt;A13,D13*(E13+F13)%,0)</f>
        <v>0</v>
      </c>
      <c r="L13" s="549">
        <f>IF(K13=0,L12,L12+L12*G13/12*H13+K13/12*H13)</f>
        <v>0</v>
      </c>
      <c r="M13" s="549">
        <f>IF(K13=0,L12,IF(H13&lt;&gt;12,L12+L12*G13/12*J13+K13/12*J13,L12+L12*G13/12*I13+K13/12*I13))</f>
        <v>0</v>
      </c>
      <c r="N13" s="136"/>
      <c r="O13" s="549"/>
      <c r="P13" s="549">
        <f>IF(K13=0,P12,P12+K13/12*H13)</f>
        <v>0</v>
      </c>
      <c r="Q13" s="549">
        <f>IF(K13=0,P12,IF(H13&lt;&gt;12,P12+K13/12*J13,P12+K13/12*I13))</f>
        <v>0</v>
      </c>
      <c r="R13" s="942"/>
      <c r="S13" s="562">
        <f>IF((Input!$K$2-1)&lt;A13,(S$4*VLOOKUP(B13,Beitrag!$B$19:$C$24,2)%)/12*H13,0)</f>
        <v>0</v>
      </c>
      <c r="T13" s="215">
        <f>IF(C13&lt;2010,0,Beitrag!O73)</f>
        <v>0.01</v>
      </c>
      <c r="U13" s="549">
        <f t="shared" ref="U13:U57" si="6">IF(S13=0,U12,U12+U12*T13/12*H13+S13)</f>
        <v>0</v>
      </c>
      <c r="V13" s="549">
        <f t="shared" ref="V13:V51" si="7">IF(S13=0,U12,IF(H13&lt;&gt;12,U12+U12*T13/12*J13+S13,U12+U12*T13/12*I13+S13))</f>
        <v>0</v>
      </c>
      <c r="W13" s="548"/>
      <c r="X13" s="548"/>
      <c r="Y13" s="113"/>
      <c r="Z13" s="114">
        <f>IF((Input!$K$2-1)&lt;A13,D13*(E13+F13)%,0)</f>
        <v>0</v>
      </c>
      <c r="AA13" s="114">
        <f>Z13</f>
        <v>0</v>
      </c>
    </row>
    <row r="14" spans="1:27" ht="14.25" customHeight="1" x14ac:dyDescent="0.25">
      <c r="A14" s="122">
        <v>27</v>
      </c>
      <c r="B14" s="120">
        <v>2</v>
      </c>
      <c r="C14" s="123">
        <f>A14+Input!$J$10</f>
        <v>2012</v>
      </c>
      <c r="D14" s="549">
        <f>Input!$E$24</f>
        <v>100000</v>
      </c>
      <c r="E14" s="136">
        <f>VLOOKUP(VLOOKUP(A14,Input!$T$1:$U$92,2),Beitrag!$B$19:$N$23,Input!$K$25+1)</f>
        <v>7</v>
      </c>
      <c r="F14" s="136">
        <f>VLOOKUP(VLOOKUP(A14,Input!$T$1:$U$92,2),Beitrag!$B$19:$N$23,Input!$K$36+10)</f>
        <v>0</v>
      </c>
      <c r="G14" s="215">
        <f>IF(C14&lt;2010,0,VLOOKUP(C14,Beitrag!$A$73:$D$163,4))</f>
        <v>1.4999999999999999E-2</v>
      </c>
      <c r="H14" s="123">
        <f>IF(C14=YEAR(Input!$E$15),13-MONTH(Input!$E$15),12)</f>
        <v>12</v>
      </c>
      <c r="I14" s="123">
        <f>Input!$J$9</f>
        <v>1</v>
      </c>
      <c r="J14" s="123">
        <f t="shared" ref="J14:J56" si="8">IF(H14=12,12,IF((I14+H14-12)&lt;1,0,I14+H14-12))</f>
        <v>12</v>
      </c>
      <c r="K14" s="114">
        <f>IF((Input!$K$2-1)&lt;A14,D14*(E14+F14)%,0)</f>
        <v>0</v>
      </c>
      <c r="L14" s="549">
        <f t="shared" ref="L14:L56" si="9">IF(K14=0,L13,L13+L13*G14/12*H14+K14/12*H14)</f>
        <v>0</v>
      </c>
      <c r="M14" s="549">
        <f t="shared" ref="M14:M56" si="10">IF(K14=0,L13,IF(H14&lt;&gt;12,L13+L13*G14/12*J14+K14/12*J14,L13+L13*G14/12*I14+K14/12*I14))</f>
        <v>0</v>
      </c>
      <c r="N14" s="136"/>
      <c r="O14" s="549"/>
      <c r="P14" s="549">
        <f t="shared" ref="P14:P56" si="11">IF(K14=0,P13,P13+K14/12*H14)</f>
        <v>0</v>
      </c>
      <c r="Q14" s="549">
        <f t="shared" ref="Q14:Q56" si="12">IF(K14=0,P13,IF(H14&lt;&gt;12,P13+K14/12*J14,P13+K14/12*I14))</f>
        <v>0</v>
      </c>
      <c r="R14" s="942"/>
      <c r="S14" s="562">
        <f>IF((Input!$K$2-1)&lt;A14,(S$4*VLOOKUP(B14,Beitrag!$B$19:$C$24,2)%)/12*H14,0)</f>
        <v>0</v>
      </c>
      <c r="T14" s="215">
        <f>IF(C14&lt;2010,0,Beitrag!O73)</f>
        <v>0.01</v>
      </c>
      <c r="U14" s="549">
        <f t="shared" si="6"/>
        <v>0</v>
      </c>
      <c r="V14" s="549">
        <f t="shared" si="7"/>
        <v>0</v>
      </c>
      <c r="W14" s="562"/>
      <c r="X14" s="548"/>
      <c r="Y14" s="113"/>
      <c r="Z14" s="114">
        <f>IF((Input!$K$2-1)&lt;A14,D14*(E14+F14)%,0)</f>
        <v>0</v>
      </c>
      <c r="AA14" s="114">
        <f t="shared" ref="AA14:AA50" si="13">Z14</f>
        <v>0</v>
      </c>
    </row>
    <row r="15" spans="1:27" ht="14.25" customHeight="1" x14ac:dyDescent="0.25">
      <c r="A15" s="122">
        <v>28</v>
      </c>
      <c r="B15" s="120">
        <v>2</v>
      </c>
      <c r="C15" s="123">
        <f>A15+Input!$J$10</f>
        <v>2013</v>
      </c>
      <c r="D15" s="549">
        <f>Input!$E$24</f>
        <v>100000</v>
      </c>
      <c r="E15" s="136">
        <f>VLOOKUP(VLOOKUP(A15,Input!$T$1:$U$92,2),Beitrag!$B$19:$N$23,Input!$K$25+1)</f>
        <v>7</v>
      </c>
      <c r="F15" s="136">
        <f>VLOOKUP(VLOOKUP(A15,Input!$T$1:$U$92,2),Beitrag!$B$19:$N$23,Input!$K$36+10)</f>
        <v>0</v>
      </c>
      <c r="G15" s="215">
        <f>IF(C15&lt;2010,0,VLOOKUP(C15,Beitrag!$A$73:$D$163,4))</f>
        <v>1.4999999999999999E-2</v>
      </c>
      <c r="H15" s="123">
        <f>IF(C15=YEAR(Input!$E$15),13-MONTH(Input!$E$15),12)</f>
        <v>12</v>
      </c>
      <c r="I15" s="123">
        <f>Input!$J$9</f>
        <v>1</v>
      </c>
      <c r="J15" s="123">
        <f t="shared" si="8"/>
        <v>12</v>
      </c>
      <c r="K15" s="114">
        <f>IF((Input!$K$2-1)&lt;A15,D15*(E15+F15)%,0)</f>
        <v>0</v>
      </c>
      <c r="L15" s="549">
        <f t="shared" si="9"/>
        <v>0</v>
      </c>
      <c r="M15" s="549">
        <f t="shared" si="10"/>
        <v>0</v>
      </c>
      <c r="N15" s="136"/>
      <c r="O15" s="549"/>
      <c r="P15" s="549">
        <f t="shared" si="11"/>
        <v>0</v>
      </c>
      <c r="Q15" s="549">
        <f t="shared" si="12"/>
        <v>0</v>
      </c>
      <c r="R15" s="942"/>
      <c r="S15" s="562">
        <f>IF((Input!$K$2-1)&lt;A15,(S$4*VLOOKUP(B15,Beitrag!$B$19:$C$24,2)%)/12*H15,0)</f>
        <v>0</v>
      </c>
      <c r="T15" s="215">
        <f>IF(C15&lt;2010,0,Beitrag!O73)</f>
        <v>0.01</v>
      </c>
      <c r="U15" s="549">
        <f t="shared" si="6"/>
        <v>0</v>
      </c>
      <c r="V15" s="549">
        <f t="shared" si="7"/>
        <v>0</v>
      </c>
      <c r="W15" s="562"/>
      <c r="X15" s="548"/>
      <c r="Y15" s="113"/>
      <c r="Z15" s="114">
        <f>IF((Input!$K$2-1)&lt;A15,D15*(E15+F15)%,0)</f>
        <v>0</v>
      </c>
      <c r="AA15" s="114">
        <f t="shared" si="13"/>
        <v>0</v>
      </c>
    </row>
    <row r="16" spans="1:27" ht="14.25" customHeight="1" x14ac:dyDescent="0.25">
      <c r="A16" s="122">
        <v>29</v>
      </c>
      <c r="B16" s="120">
        <v>2</v>
      </c>
      <c r="C16" s="123">
        <f>A16+Input!$J$10</f>
        <v>2014</v>
      </c>
      <c r="D16" s="549">
        <f>Input!$E$24</f>
        <v>100000</v>
      </c>
      <c r="E16" s="136">
        <f>VLOOKUP(VLOOKUP(A16,Input!$T$1:$U$92,2),Beitrag!$B$19:$N$23,Input!$K$25+1)</f>
        <v>7</v>
      </c>
      <c r="F16" s="136">
        <f>VLOOKUP(VLOOKUP(A16,Input!$T$1:$U$92,2),Beitrag!$B$19:$N$23,Input!$K$36+10)</f>
        <v>0</v>
      </c>
      <c r="G16" s="215">
        <f>IF(C16&lt;2010,0,VLOOKUP(C16,Beitrag!$A$73:$D$163,4))</f>
        <v>1.7500000000000002E-2</v>
      </c>
      <c r="H16" s="123">
        <f>IF(C16=YEAR(Input!$E$15),13-MONTH(Input!$E$15),12)</f>
        <v>12</v>
      </c>
      <c r="I16" s="123">
        <f>Input!$J$9</f>
        <v>1</v>
      </c>
      <c r="J16" s="123">
        <f t="shared" si="8"/>
        <v>12</v>
      </c>
      <c r="K16" s="114">
        <f>IF((Input!$K$2-1)&lt;A16,D16*(E16+F16)%,0)</f>
        <v>0</v>
      </c>
      <c r="L16" s="549">
        <f t="shared" si="9"/>
        <v>0</v>
      </c>
      <c r="M16" s="549">
        <f t="shared" si="10"/>
        <v>0</v>
      </c>
      <c r="N16" s="136"/>
      <c r="O16" s="549"/>
      <c r="P16" s="549">
        <f t="shared" si="11"/>
        <v>0</v>
      </c>
      <c r="Q16" s="549">
        <f t="shared" si="12"/>
        <v>0</v>
      </c>
      <c r="R16" s="942"/>
      <c r="S16" s="562">
        <f>IF((Input!$K$2-1)&lt;A16,(S$4*VLOOKUP(B16,Beitrag!$B$19:$C$24,2)%)/12*H16,0)</f>
        <v>0</v>
      </c>
      <c r="T16" s="215">
        <f>IF(C16&lt;2010,0,Beitrag!O73)</f>
        <v>0.01</v>
      </c>
      <c r="U16" s="549">
        <f t="shared" si="6"/>
        <v>0</v>
      </c>
      <c r="V16" s="549">
        <f t="shared" si="7"/>
        <v>0</v>
      </c>
      <c r="W16" s="562"/>
      <c r="X16" s="548"/>
      <c r="Y16" s="113"/>
      <c r="Z16" s="114">
        <f>IF((Input!$K$2-1)&lt;A16,D16*(E16+F16)%,0)</f>
        <v>0</v>
      </c>
      <c r="AA16" s="114">
        <f t="shared" si="13"/>
        <v>0</v>
      </c>
    </row>
    <row r="17" spans="1:27" ht="14.25" customHeight="1" x14ac:dyDescent="0.25">
      <c r="A17" s="122">
        <v>30</v>
      </c>
      <c r="B17" s="120">
        <v>2</v>
      </c>
      <c r="C17" s="123">
        <f>A17+Input!$J$10</f>
        <v>2015</v>
      </c>
      <c r="D17" s="549">
        <f>Input!$E$24</f>
        <v>100000</v>
      </c>
      <c r="E17" s="136">
        <f>VLOOKUP(VLOOKUP(A17,Input!$T$1:$U$92,2),Beitrag!$B$19:$N$23,Input!$K$25+1)</f>
        <v>7</v>
      </c>
      <c r="F17" s="136">
        <f>VLOOKUP(VLOOKUP(A17,Input!$T$1:$U$92,2),Beitrag!$B$19:$N$23,Input!$K$36+10)</f>
        <v>0</v>
      </c>
      <c r="G17" s="215">
        <f>IF(C17&lt;2010,0,VLOOKUP(C17,Beitrag!$A$73:$D$163,4))</f>
        <v>1.7500000000000002E-2</v>
      </c>
      <c r="H17" s="123">
        <f>IF(C17=YEAR(Input!$E$15),13-MONTH(Input!$E$15),12)</f>
        <v>12</v>
      </c>
      <c r="I17" s="123">
        <f>Input!$J$9</f>
        <v>1</v>
      </c>
      <c r="J17" s="123">
        <f t="shared" si="8"/>
        <v>12</v>
      </c>
      <c r="K17" s="114">
        <f>IF((Input!$K$2-1)&lt;A17,D17*(E17+F17)%,0)</f>
        <v>0</v>
      </c>
      <c r="L17" s="549">
        <f t="shared" si="9"/>
        <v>0</v>
      </c>
      <c r="M17" s="549">
        <f t="shared" si="10"/>
        <v>0</v>
      </c>
      <c r="N17" s="136"/>
      <c r="O17" s="549"/>
      <c r="P17" s="549">
        <f t="shared" si="11"/>
        <v>0</v>
      </c>
      <c r="Q17" s="549">
        <f t="shared" si="12"/>
        <v>0</v>
      </c>
      <c r="R17" s="942"/>
      <c r="S17" s="562">
        <f>IF((Input!$K$2-1)&lt;A17,(S$4*VLOOKUP(B17,Beitrag!$B$19:$C$24,2)%)/12*H17,0)</f>
        <v>0</v>
      </c>
      <c r="T17" s="215">
        <f>IF(C17&lt;2010,0,Beitrag!O73)</f>
        <v>0.01</v>
      </c>
      <c r="U17" s="549">
        <f t="shared" si="6"/>
        <v>0</v>
      </c>
      <c r="V17" s="549">
        <f t="shared" si="7"/>
        <v>0</v>
      </c>
      <c r="W17" s="562"/>
      <c r="X17" s="548"/>
      <c r="Y17" s="113"/>
      <c r="Z17" s="114">
        <f>IF((Input!$K$2-1)&lt;A17,D17*(E17+F17)%,0)</f>
        <v>0</v>
      </c>
      <c r="AA17" s="114">
        <f t="shared" si="13"/>
        <v>0</v>
      </c>
    </row>
    <row r="18" spans="1:27" ht="14.25" customHeight="1" x14ac:dyDescent="0.25">
      <c r="A18" s="122">
        <v>31</v>
      </c>
      <c r="B18" s="120">
        <v>2</v>
      </c>
      <c r="C18" s="123">
        <f>A18+Input!$J$10</f>
        <v>2016</v>
      </c>
      <c r="D18" s="549">
        <f>Input!$E$24</f>
        <v>100000</v>
      </c>
      <c r="E18" s="136">
        <f>VLOOKUP(VLOOKUP(A18,Input!$T$1:$U$92,2),Beitrag!$B$19:$N$23,Input!$K$25+1)</f>
        <v>7</v>
      </c>
      <c r="F18" s="136">
        <f>VLOOKUP(VLOOKUP(A18,Input!$T$1:$U$92,2),Beitrag!$B$19:$N$23,Input!$K$36+10)</f>
        <v>0</v>
      </c>
      <c r="G18" s="215">
        <f>IF(C18&lt;2010,0,VLOOKUP(C18,Beitrag!$A$73:$D$163,4))</f>
        <v>1.2500000000000001E-2</v>
      </c>
      <c r="H18" s="123">
        <f>IF(C18=YEAR(Input!$E$15),13-MONTH(Input!$E$15),12)</f>
        <v>12</v>
      </c>
      <c r="I18" s="123">
        <f>Input!$J$9</f>
        <v>1</v>
      </c>
      <c r="J18" s="123">
        <f t="shared" si="8"/>
        <v>12</v>
      </c>
      <c r="K18" s="114">
        <f>IF((Input!$K$2-1)&lt;A18,D18*(E18+F18)%,0)</f>
        <v>0</v>
      </c>
      <c r="L18" s="549">
        <f t="shared" si="9"/>
        <v>0</v>
      </c>
      <c r="M18" s="549">
        <f t="shared" si="10"/>
        <v>0</v>
      </c>
      <c r="N18" s="136"/>
      <c r="O18" s="549"/>
      <c r="P18" s="549">
        <f t="shared" si="11"/>
        <v>0</v>
      </c>
      <c r="Q18" s="549">
        <f t="shared" si="12"/>
        <v>0</v>
      </c>
      <c r="R18" s="942"/>
      <c r="S18" s="562">
        <f>IF((Input!$K$2-1)&lt;A18,(S$4*VLOOKUP(B18,Beitrag!$B$19:$C$24,2)%)/12*H18,0)</f>
        <v>0</v>
      </c>
      <c r="T18" s="215">
        <f>IF(C18&lt;2010,0,Beitrag!O73)</f>
        <v>0.01</v>
      </c>
      <c r="U18" s="549">
        <f t="shared" si="6"/>
        <v>0</v>
      </c>
      <c r="V18" s="549">
        <f t="shared" si="7"/>
        <v>0</v>
      </c>
      <c r="W18" s="562"/>
      <c r="X18" s="548"/>
      <c r="Y18" s="113"/>
      <c r="Z18" s="114">
        <f>IF((Input!$K$2-1)&lt;A18,D18*(E18+F18)%,0)</f>
        <v>0</v>
      </c>
      <c r="AA18" s="114">
        <f t="shared" si="13"/>
        <v>0</v>
      </c>
    </row>
    <row r="19" spans="1:27" ht="14.25" customHeight="1" x14ac:dyDescent="0.25">
      <c r="A19" s="122">
        <v>32</v>
      </c>
      <c r="B19" s="120">
        <v>2</v>
      </c>
      <c r="C19" s="123">
        <f>A19+Input!$J$10</f>
        <v>2017</v>
      </c>
      <c r="D19" s="549">
        <f>Input!$E$24</f>
        <v>100000</v>
      </c>
      <c r="E19" s="136">
        <f>VLOOKUP(VLOOKUP(A19,Input!$T$1:$U$92,2),Beitrag!$B$19:$N$23,Input!$K$25+1)</f>
        <v>7</v>
      </c>
      <c r="F19" s="136">
        <f>VLOOKUP(VLOOKUP(A19,Input!$T$1:$U$92,2),Beitrag!$B$19:$N$23,Input!$K$36+10)</f>
        <v>0</v>
      </c>
      <c r="G19" s="215">
        <f>IF(C19&lt;2010,0,VLOOKUP(C19,Beitrag!$A$73:$D$163,4))</f>
        <v>2.5000000000000001E-2</v>
      </c>
      <c r="H19" s="123">
        <f>IF(C19=YEAR(Input!$E$15),13-MONTH(Input!$E$15),12)</f>
        <v>12</v>
      </c>
      <c r="I19" s="123">
        <f>Input!$J$9</f>
        <v>1</v>
      </c>
      <c r="J19" s="123">
        <f t="shared" si="8"/>
        <v>12</v>
      </c>
      <c r="K19" s="114">
        <f>IF((Input!$K$2-1)&lt;A19,D19*(E19+F19)%,0)</f>
        <v>0</v>
      </c>
      <c r="L19" s="549">
        <f t="shared" si="9"/>
        <v>0</v>
      </c>
      <c r="M19" s="549">
        <f t="shared" si="10"/>
        <v>0</v>
      </c>
      <c r="N19" s="136"/>
      <c r="O19" s="549"/>
      <c r="P19" s="549">
        <f t="shared" si="11"/>
        <v>0</v>
      </c>
      <c r="Q19" s="549">
        <f t="shared" si="12"/>
        <v>0</v>
      </c>
      <c r="R19" s="942"/>
      <c r="S19" s="562">
        <f>IF((Input!$K$2-1)&lt;A19,(S$4*VLOOKUP(B19,Beitrag!$B$19:$C$24,2)%)/12*H19,0)</f>
        <v>0</v>
      </c>
      <c r="T19" s="215">
        <f>IF(C19&lt;2010,0,Beitrag!O73)</f>
        <v>0.01</v>
      </c>
      <c r="U19" s="549">
        <f t="shared" si="6"/>
        <v>0</v>
      </c>
      <c r="V19" s="549">
        <f t="shared" si="7"/>
        <v>0</v>
      </c>
      <c r="W19" s="562"/>
      <c r="X19" s="548"/>
      <c r="Y19" s="113"/>
      <c r="Z19" s="114">
        <f>IF((Input!$K$2-1)&lt;A19,D19*(E19+F19)%,0)</f>
        <v>0</v>
      </c>
      <c r="AA19" s="114">
        <f t="shared" si="13"/>
        <v>0</v>
      </c>
    </row>
    <row r="20" spans="1:27" ht="14.25" customHeight="1" x14ac:dyDescent="0.25">
      <c r="A20" s="122">
        <v>33</v>
      </c>
      <c r="B20" s="120">
        <v>2</v>
      </c>
      <c r="C20" s="123">
        <f>A20+Input!$J$10</f>
        <v>2018</v>
      </c>
      <c r="D20" s="549">
        <f>Input!$E$24</f>
        <v>100000</v>
      </c>
      <c r="E20" s="136">
        <f>VLOOKUP(VLOOKUP(A20,Input!$T$1:$U$92,2),Beitrag!$B$19:$N$23,Input!$K$25+1)</f>
        <v>7</v>
      </c>
      <c r="F20" s="136">
        <f>VLOOKUP(VLOOKUP(A20,Input!$T$1:$U$92,2),Beitrag!$B$19:$N$23,Input!$K$36+10)</f>
        <v>0</v>
      </c>
      <c r="G20" s="215">
        <f>IF(C20&lt;2010,0,VLOOKUP(C20,Beitrag!$A$73:$D$163,4))</f>
        <v>1.4999999999999999E-2</v>
      </c>
      <c r="H20" s="123">
        <f>IF(C20=YEAR(Input!$E$15),13-MONTH(Input!$E$15),12)</f>
        <v>12</v>
      </c>
      <c r="I20" s="123">
        <f>Input!$J$9</f>
        <v>1</v>
      </c>
      <c r="J20" s="123">
        <f t="shared" si="8"/>
        <v>12</v>
      </c>
      <c r="K20" s="114">
        <f>IF((Input!$K$2-1)&lt;A20,D20*(E20+F20)%,0)</f>
        <v>0</v>
      </c>
      <c r="L20" s="549">
        <f t="shared" si="9"/>
        <v>0</v>
      </c>
      <c r="M20" s="549">
        <f t="shared" si="10"/>
        <v>0</v>
      </c>
      <c r="N20" s="136"/>
      <c r="O20" s="549"/>
      <c r="P20" s="549">
        <f t="shared" si="11"/>
        <v>0</v>
      </c>
      <c r="Q20" s="549">
        <f t="shared" si="12"/>
        <v>0</v>
      </c>
      <c r="R20" s="942"/>
      <c r="S20" s="562">
        <f>IF((Input!$K$2-1)&lt;A20,(S$4*VLOOKUP(B20,Beitrag!$B$19:$C$24,2)%)/12*H20,0)</f>
        <v>0</v>
      </c>
      <c r="T20" s="215">
        <f>IF(C20&lt;2010,0,Beitrag!O73)</f>
        <v>0.01</v>
      </c>
      <c r="U20" s="549">
        <f t="shared" si="6"/>
        <v>0</v>
      </c>
      <c r="V20" s="549">
        <f t="shared" si="7"/>
        <v>0</v>
      </c>
      <c r="W20" s="562"/>
      <c r="X20" s="548"/>
      <c r="Y20" s="113"/>
      <c r="Z20" s="114">
        <f>IF((Input!$K$2-1)&lt;A20,D20*(E20+F20)%,0)</f>
        <v>0</v>
      </c>
      <c r="AA20" s="114">
        <f t="shared" si="13"/>
        <v>0</v>
      </c>
    </row>
    <row r="21" spans="1:27" ht="14.25" customHeight="1" x14ac:dyDescent="0.25">
      <c r="A21" s="122">
        <v>34</v>
      </c>
      <c r="B21" s="120">
        <v>2</v>
      </c>
      <c r="C21" s="123">
        <f>A21+Input!$J$10</f>
        <v>2019</v>
      </c>
      <c r="D21" s="549">
        <f>Input!$E$24</f>
        <v>100000</v>
      </c>
      <c r="E21" s="136">
        <f>VLOOKUP(VLOOKUP(A21,Input!$T$1:$U$92,2),Beitrag!$B$19:$N$23,Input!$K$25+1)</f>
        <v>7</v>
      </c>
      <c r="F21" s="136">
        <f>VLOOKUP(VLOOKUP(A21,Input!$T$1:$U$92,2),Beitrag!$B$19:$N$23,Input!$K$36+10)</f>
        <v>0</v>
      </c>
      <c r="G21" s="215">
        <f>IF(C21&lt;2010,0,VLOOKUP(C21,Beitrag!$A$73:$D$163,4))</f>
        <v>2.5000000000000001E-2</v>
      </c>
      <c r="H21" s="123">
        <f>IF(C21=YEAR(Input!$E$15),13-MONTH(Input!$E$15),12)</f>
        <v>12</v>
      </c>
      <c r="I21" s="123">
        <f>Input!$J$9</f>
        <v>1</v>
      </c>
      <c r="J21" s="123">
        <f t="shared" si="8"/>
        <v>12</v>
      </c>
      <c r="K21" s="114">
        <f>IF((Input!$K$2-1)&lt;A21,D21*(E21+F21)%,0)</f>
        <v>0</v>
      </c>
      <c r="L21" s="549">
        <f t="shared" si="9"/>
        <v>0</v>
      </c>
      <c r="M21" s="549">
        <f t="shared" si="10"/>
        <v>0</v>
      </c>
      <c r="N21" s="136"/>
      <c r="O21" s="549"/>
      <c r="P21" s="549">
        <f t="shared" si="11"/>
        <v>0</v>
      </c>
      <c r="Q21" s="549">
        <f t="shared" si="12"/>
        <v>0</v>
      </c>
      <c r="R21" s="942"/>
      <c r="S21" s="562">
        <f>IF((Input!$K$2-1)&lt;A21,(S$4*VLOOKUP(B21,Beitrag!$B$19:$C$24,2)%)/12*H21,0)</f>
        <v>0</v>
      </c>
      <c r="T21" s="215">
        <f>IF(C21&lt;2010,0,Beitrag!O73)</f>
        <v>0.01</v>
      </c>
      <c r="U21" s="549">
        <f t="shared" si="6"/>
        <v>0</v>
      </c>
      <c r="V21" s="549">
        <f t="shared" si="7"/>
        <v>0</v>
      </c>
      <c r="W21" s="562"/>
      <c r="X21" s="548"/>
      <c r="Y21" s="113"/>
      <c r="Z21" s="114">
        <f>IF((Input!$K$2-1)&lt;A21,D21*(E21+F21)%,0)</f>
        <v>0</v>
      </c>
      <c r="AA21" s="114">
        <f t="shared" si="13"/>
        <v>0</v>
      </c>
    </row>
    <row r="22" spans="1:27" ht="14.25" customHeight="1" x14ac:dyDescent="0.25">
      <c r="A22" s="122">
        <v>35</v>
      </c>
      <c r="B22" s="120">
        <v>3</v>
      </c>
      <c r="C22" s="123">
        <f>A22+Input!$J$10</f>
        <v>2020</v>
      </c>
      <c r="D22" s="549">
        <f>Input!$E$24</f>
        <v>100000</v>
      </c>
      <c r="E22" s="136">
        <f>VLOOKUP(VLOOKUP(A22,Input!$T$1:$U$92,2),Beitrag!$B$19:$N$23,Input!$K$25+1)</f>
        <v>10</v>
      </c>
      <c r="F22" s="136">
        <f>VLOOKUP(VLOOKUP(A22,Input!$T$1:$U$92,2),Beitrag!$B$19:$N$23,Input!$K$36+10)</f>
        <v>0</v>
      </c>
      <c r="G22" s="215">
        <f>IF(C22&lt;2010,0,VLOOKUP(C22,Beitrag!$A$73:$D$163,4))</f>
        <v>0.02</v>
      </c>
      <c r="H22" s="123">
        <f>IF(C22=YEAR(Input!$E$15),13-MONTH(Input!$E$15),12)</f>
        <v>12</v>
      </c>
      <c r="I22" s="123">
        <f>Input!$J$9</f>
        <v>1</v>
      </c>
      <c r="J22" s="123">
        <f t="shared" si="8"/>
        <v>12</v>
      </c>
      <c r="K22" s="114">
        <f>IF((Input!$K$2-1)&lt;A22,D22*(E22+F22)%,0)</f>
        <v>0</v>
      </c>
      <c r="L22" s="549">
        <f t="shared" si="9"/>
        <v>0</v>
      </c>
      <c r="M22" s="549">
        <f t="shared" si="10"/>
        <v>0</v>
      </c>
      <c r="N22" s="136"/>
      <c r="O22" s="549"/>
      <c r="P22" s="549">
        <f t="shared" si="11"/>
        <v>0</v>
      </c>
      <c r="Q22" s="549">
        <f t="shared" si="12"/>
        <v>0</v>
      </c>
      <c r="R22" s="942"/>
      <c r="S22" s="562">
        <f>IF((Input!$K$2-1)&lt;A22,(S$4*VLOOKUP(B22,Beitrag!$B$19:$C$24,2)%)/12*H22,0)</f>
        <v>0</v>
      </c>
      <c r="T22" s="215">
        <f>IF(C22&lt;2010,0,Beitrag!O73)</f>
        <v>0.01</v>
      </c>
      <c r="U22" s="549">
        <f t="shared" si="6"/>
        <v>0</v>
      </c>
      <c r="V22" s="549">
        <f t="shared" si="7"/>
        <v>0</v>
      </c>
      <c r="W22" s="562"/>
      <c r="X22" s="548"/>
      <c r="Y22" s="113"/>
      <c r="Z22" s="114">
        <f>IF((Input!$K$2-1)&lt;A22,D22*(E22+F22)%,0)</f>
        <v>0</v>
      </c>
      <c r="AA22" s="114">
        <f t="shared" si="13"/>
        <v>0</v>
      </c>
    </row>
    <row r="23" spans="1:27" ht="14.25" customHeight="1" x14ac:dyDescent="0.25">
      <c r="A23" s="122">
        <v>36</v>
      </c>
      <c r="B23" s="120">
        <v>3</v>
      </c>
      <c r="C23" s="123">
        <f>A23+Input!$J$10</f>
        <v>2021</v>
      </c>
      <c r="D23" s="549">
        <f>Input!$E$24</f>
        <v>100000</v>
      </c>
      <c r="E23" s="136">
        <f>VLOOKUP(VLOOKUP(A23,Input!$T$1:$U$92,2),Beitrag!$B$19:$N$23,Input!$K$25+1)</f>
        <v>10</v>
      </c>
      <c r="F23" s="136">
        <f>VLOOKUP(VLOOKUP(A23,Input!$T$1:$U$92,2),Beitrag!$B$19:$N$23,Input!$K$36+10)</f>
        <v>0</v>
      </c>
      <c r="G23" s="215">
        <f>IF(C23&lt;2010,0,VLOOKUP(C23,Beitrag!$A$73:$D$163,4))</f>
        <v>0.05</v>
      </c>
      <c r="H23" s="123">
        <f>IF(C23=YEAR(Input!$E$15),13-MONTH(Input!$E$15),12)</f>
        <v>12</v>
      </c>
      <c r="I23" s="123">
        <f>Input!$J$9</f>
        <v>1</v>
      </c>
      <c r="J23" s="123">
        <f t="shared" si="8"/>
        <v>12</v>
      </c>
      <c r="K23" s="114">
        <f>IF((Input!$K$2-1)&lt;A23,D23*(E23+F23)%,0)</f>
        <v>0</v>
      </c>
      <c r="L23" s="549">
        <f t="shared" si="9"/>
        <v>0</v>
      </c>
      <c r="M23" s="549">
        <f t="shared" si="10"/>
        <v>0</v>
      </c>
      <c r="N23" s="136"/>
      <c r="O23" s="549"/>
      <c r="P23" s="549">
        <f t="shared" si="11"/>
        <v>0</v>
      </c>
      <c r="Q23" s="549">
        <f t="shared" si="12"/>
        <v>0</v>
      </c>
      <c r="R23" s="942"/>
      <c r="S23" s="562">
        <f>IF((Input!$K$2-1)&lt;A23,(S$4*VLOOKUP(B23,Beitrag!$B$19:$C$24,2)%)/12*H23,0)</f>
        <v>0</v>
      </c>
      <c r="T23" s="215">
        <f>IF(C23&lt;2010,0,Beitrag!O73)</f>
        <v>0.01</v>
      </c>
      <c r="U23" s="549">
        <f t="shared" si="6"/>
        <v>0</v>
      </c>
      <c r="V23" s="549">
        <f t="shared" si="7"/>
        <v>0</v>
      </c>
      <c r="W23" s="562"/>
      <c r="X23" s="548"/>
      <c r="Y23" s="113"/>
      <c r="Z23" s="114">
        <f>IF((Input!$K$2-1)&lt;A23,D23*(E23+F23)%,0)</f>
        <v>0</v>
      </c>
      <c r="AA23" s="114">
        <f t="shared" si="13"/>
        <v>0</v>
      </c>
    </row>
    <row r="24" spans="1:27" ht="14.25" customHeight="1" x14ac:dyDescent="0.25">
      <c r="A24" s="122">
        <v>37</v>
      </c>
      <c r="B24" s="120">
        <v>3</v>
      </c>
      <c r="C24" s="123">
        <f>A24+Input!$J$10</f>
        <v>2022</v>
      </c>
      <c r="D24" s="549">
        <f>Input!$E$24</f>
        <v>100000</v>
      </c>
      <c r="E24" s="136">
        <f>VLOOKUP(VLOOKUP(A24,Input!$T$1:$U$92,2),Beitrag!$B$19:$N$23,Input!$K$25+1)</f>
        <v>10</v>
      </c>
      <c r="F24" s="136">
        <f>VLOOKUP(VLOOKUP(A24,Input!$T$1:$U$92,2),Beitrag!$B$19:$N$23,Input!$K$36+10)</f>
        <v>0</v>
      </c>
      <c r="G24" s="215">
        <f>IF(C24&lt;2010,0,VLOOKUP(C24,Beitrag!$A$73:$D$163,4))</f>
        <v>1.7500000000000002E-2</v>
      </c>
      <c r="H24" s="123">
        <f>IF(C24=YEAR(Input!$E$15),13-MONTH(Input!$E$15),12)</f>
        <v>12</v>
      </c>
      <c r="I24" s="123">
        <f>Input!$J$9</f>
        <v>1</v>
      </c>
      <c r="J24" s="123">
        <f t="shared" si="8"/>
        <v>12</v>
      </c>
      <c r="K24" s="114">
        <f>IF((Input!$K$2-1)&lt;A24,D24*(E24+F24)%,0)</f>
        <v>0</v>
      </c>
      <c r="L24" s="549">
        <f t="shared" si="9"/>
        <v>0</v>
      </c>
      <c r="M24" s="549">
        <f t="shared" si="10"/>
        <v>0</v>
      </c>
      <c r="N24" s="136"/>
      <c r="O24" s="549"/>
      <c r="P24" s="549">
        <f t="shared" si="11"/>
        <v>0</v>
      </c>
      <c r="Q24" s="549">
        <f t="shared" si="12"/>
        <v>0</v>
      </c>
      <c r="R24" s="942"/>
      <c r="S24" s="562">
        <f>IF((Input!$K$2-1)&lt;A24,(S$4*VLOOKUP(B24,Beitrag!$B$19:$C$24,2)%)/12*H24,0)</f>
        <v>0</v>
      </c>
      <c r="T24" s="215">
        <f>IF(C24&lt;2010,0,Beitrag!O73)</f>
        <v>0.01</v>
      </c>
      <c r="U24" s="549">
        <f t="shared" si="6"/>
        <v>0</v>
      </c>
      <c r="V24" s="549">
        <f t="shared" si="7"/>
        <v>0</v>
      </c>
      <c r="W24" s="562"/>
      <c r="X24" s="548"/>
      <c r="Y24" s="113"/>
      <c r="Z24" s="114">
        <f>IF((Input!$K$2-1)&lt;A24,D24*(E24+F24)%,0)</f>
        <v>0</v>
      </c>
      <c r="AA24" s="114">
        <f t="shared" si="13"/>
        <v>0</v>
      </c>
    </row>
    <row r="25" spans="1:27" ht="14.25" customHeight="1" x14ac:dyDescent="0.25">
      <c r="A25" s="122">
        <v>38</v>
      </c>
      <c r="B25" s="120">
        <v>3</v>
      </c>
      <c r="C25" s="123">
        <f>A25+Input!$J$10</f>
        <v>2023</v>
      </c>
      <c r="D25" s="549">
        <f>Input!$E$24</f>
        <v>100000</v>
      </c>
      <c r="E25" s="136">
        <f>VLOOKUP(VLOOKUP(A25,Input!$T$1:$U$92,2),Beitrag!$B$19:$N$23,Input!$K$25+1)</f>
        <v>10</v>
      </c>
      <c r="F25" s="136">
        <f>VLOOKUP(VLOOKUP(A25,Input!$T$1:$U$92,2),Beitrag!$B$19:$N$23,Input!$K$36+10)</f>
        <v>0</v>
      </c>
      <c r="G25" s="215">
        <f>IF(C25&lt;2010,0,VLOOKUP(C25,Beitrag!$A$73:$D$163,4))</f>
        <v>0.01</v>
      </c>
      <c r="H25" s="123">
        <f>IF(C25=YEAR(Input!$E$15),13-MONTH(Input!$E$15),12)</f>
        <v>12</v>
      </c>
      <c r="I25" s="123">
        <f>Input!$J$9</f>
        <v>1</v>
      </c>
      <c r="J25" s="123">
        <f t="shared" si="8"/>
        <v>12</v>
      </c>
      <c r="K25" s="114">
        <f>IF((Input!$K$2-1)&lt;A25,D25*(E25+F25)%,0)</f>
        <v>0</v>
      </c>
      <c r="L25" s="549">
        <f t="shared" si="9"/>
        <v>0</v>
      </c>
      <c r="M25" s="549">
        <f t="shared" si="10"/>
        <v>0</v>
      </c>
      <c r="N25" s="136"/>
      <c r="O25" s="549"/>
      <c r="P25" s="549">
        <f t="shared" si="11"/>
        <v>0</v>
      </c>
      <c r="Q25" s="549">
        <f t="shared" si="12"/>
        <v>0</v>
      </c>
      <c r="R25" s="942"/>
      <c r="S25" s="562">
        <f>IF((Input!$K$2-1)&lt;A25,(S$4*VLOOKUP(B25,Beitrag!$B$19:$C$24,2)%)/12*H25,0)</f>
        <v>0</v>
      </c>
      <c r="T25" s="215">
        <f>IF(C25&lt;2010,0,Beitrag!O73)</f>
        <v>0.01</v>
      </c>
      <c r="U25" s="549">
        <f t="shared" si="6"/>
        <v>0</v>
      </c>
      <c r="V25" s="549">
        <f t="shared" si="7"/>
        <v>0</v>
      </c>
      <c r="W25" s="562"/>
      <c r="X25" s="548"/>
      <c r="Y25" s="113"/>
      <c r="Z25" s="114">
        <f>IF((Input!$K$2-1)&lt;A25,D25*(E25+F25)%,0)</f>
        <v>0</v>
      </c>
      <c r="AA25" s="114">
        <f t="shared" si="13"/>
        <v>0</v>
      </c>
    </row>
    <row r="26" spans="1:27" ht="14.25" customHeight="1" x14ac:dyDescent="0.25">
      <c r="A26" s="122">
        <v>39</v>
      </c>
      <c r="B26" s="120">
        <v>3</v>
      </c>
      <c r="C26" s="123">
        <f>A26+Input!$J$10</f>
        <v>2024</v>
      </c>
      <c r="D26" s="549">
        <f>Input!$E$24</f>
        <v>100000</v>
      </c>
      <c r="E26" s="136">
        <f>VLOOKUP(VLOOKUP(A26,Input!$T$1:$U$92,2),Beitrag!$B$19:$N$23,Input!$K$25+1)</f>
        <v>10</v>
      </c>
      <c r="F26" s="136">
        <f>VLOOKUP(VLOOKUP(A26,Input!$T$1:$U$92,2),Beitrag!$B$19:$N$23,Input!$K$36+10)</f>
        <v>0</v>
      </c>
      <c r="G26" s="215">
        <f>IF(C26&lt;2010,0,VLOOKUP(C26,Beitrag!$A$73:$D$163,4))</f>
        <v>0.02</v>
      </c>
      <c r="H26" s="123">
        <f>IF(C26=YEAR(Input!$E$15),13-MONTH(Input!$E$15),12)</f>
        <v>12</v>
      </c>
      <c r="I26" s="123">
        <f>Input!$J$9</f>
        <v>1</v>
      </c>
      <c r="J26" s="123">
        <f t="shared" si="8"/>
        <v>12</v>
      </c>
      <c r="K26" s="114">
        <f>IF((Input!$K$2-1)&lt;A26,D26*(E26+F26)%,0)</f>
        <v>10000</v>
      </c>
      <c r="L26" s="549">
        <f t="shared" si="9"/>
        <v>10000</v>
      </c>
      <c r="M26" s="549">
        <f t="shared" si="10"/>
        <v>833.33333333333337</v>
      </c>
      <c r="N26" s="136"/>
      <c r="O26" s="549"/>
      <c r="P26" s="549">
        <f t="shared" si="11"/>
        <v>10000</v>
      </c>
      <c r="Q26" s="549">
        <f t="shared" si="12"/>
        <v>833.33333333333337</v>
      </c>
      <c r="R26" s="942"/>
      <c r="S26" s="562">
        <f>IF((Input!$K$2-1)&lt;A26,(S$4*VLOOKUP(B26,Beitrag!$B$19:$C$24,2)%)/12*H26,0)</f>
        <v>6247.5</v>
      </c>
      <c r="T26" s="215">
        <f>IF(C26&lt;2010,0,Beitrag!O73)</f>
        <v>0.01</v>
      </c>
      <c r="U26" s="549">
        <f t="shared" si="6"/>
        <v>6247.5</v>
      </c>
      <c r="V26" s="549">
        <f t="shared" si="7"/>
        <v>6247.5</v>
      </c>
      <c r="W26" s="562"/>
      <c r="X26" s="548"/>
      <c r="Y26" s="113"/>
      <c r="Z26" s="114">
        <f>IF((Input!$K$2-1)&lt;A26,D26*(E26+F26)%,0)</f>
        <v>10000</v>
      </c>
      <c r="AA26" s="114">
        <f t="shared" si="13"/>
        <v>10000</v>
      </c>
    </row>
    <row r="27" spans="1:27" ht="14.25" customHeight="1" x14ac:dyDescent="0.25">
      <c r="A27" s="122">
        <v>40</v>
      </c>
      <c r="B27" s="120">
        <v>3</v>
      </c>
      <c r="C27" s="123">
        <f>A27+Input!$J$10</f>
        <v>2025</v>
      </c>
      <c r="D27" s="549">
        <f>Input!$E$24</f>
        <v>100000</v>
      </c>
      <c r="E27" s="136">
        <f>VLOOKUP(VLOOKUP(A27,Input!$T$1:$U$92,2),Beitrag!$B$19:$N$23,Input!$K$25+1)</f>
        <v>10</v>
      </c>
      <c r="F27" s="136">
        <f>VLOOKUP(VLOOKUP(A27,Input!$T$1:$U$92,2),Beitrag!$B$19:$N$23,Input!$K$36+10)</f>
        <v>0</v>
      </c>
      <c r="G27" s="215">
        <f>IF(C27&lt;2010,0,VLOOKUP(C27,Beitrag!$A$73:$D$163,4))</f>
        <v>0.02</v>
      </c>
      <c r="H27" s="123">
        <f>IF(C27=YEAR(Input!$E$15),13-MONTH(Input!$E$15),12)</f>
        <v>12</v>
      </c>
      <c r="I27" s="123">
        <f>Input!$J$9</f>
        <v>1</v>
      </c>
      <c r="J27" s="123">
        <f t="shared" si="8"/>
        <v>12</v>
      </c>
      <c r="K27" s="114">
        <f>IF((Input!$K$2-1)&lt;A27,D27*(E27+F27)%,0)</f>
        <v>10000</v>
      </c>
      <c r="L27" s="549">
        <f>IF(K27=0,L26,L26+L26*G27/12*H27+K27/12*H27)</f>
        <v>20200</v>
      </c>
      <c r="M27" s="549">
        <f t="shared" si="10"/>
        <v>10850</v>
      </c>
      <c r="N27" s="136"/>
      <c r="O27" s="549"/>
      <c r="P27" s="549">
        <f>IF(K27=0,P26,P26+K27/12*H27)</f>
        <v>20000</v>
      </c>
      <c r="Q27" s="549">
        <f t="shared" si="12"/>
        <v>10833.333333333334</v>
      </c>
      <c r="R27" s="942"/>
      <c r="S27" s="562">
        <f>IF((Input!$K$2-1)&lt;A27,(S$4*VLOOKUP(B27,Beitrag!$B$19:$C$24,2)%)/12*H27,0)</f>
        <v>6247.5</v>
      </c>
      <c r="T27" s="215">
        <f>IF(C27&lt;2010,0,Beitrag!O73)</f>
        <v>0.01</v>
      </c>
      <c r="U27" s="549">
        <f t="shared" si="6"/>
        <v>12557.475</v>
      </c>
      <c r="V27" s="549">
        <f t="shared" si="7"/>
        <v>12500.206249999999</v>
      </c>
      <c r="W27" s="562"/>
      <c r="X27" s="548"/>
      <c r="Y27" s="113"/>
      <c r="Z27" s="114">
        <f>IF((Input!$K$2-1)&lt;A27,D27*(E27+F27)%,0)</f>
        <v>10000</v>
      </c>
      <c r="AA27" s="114">
        <f t="shared" si="13"/>
        <v>10000</v>
      </c>
    </row>
    <row r="28" spans="1:27" ht="14.25" customHeight="1" x14ac:dyDescent="0.25">
      <c r="A28" s="122">
        <v>41</v>
      </c>
      <c r="B28" s="120">
        <v>3</v>
      </c>
      <c r="C28" s="123">
        <f>A28+Input!$J$10</f>
        <v>2026</v>
      </c>
      <c r="D28" s="549">
        <f>Input!$E$24</f>
        <v>100000</v>
      </c>
      <c r="E28" s="136">
        <f>VLOOKUP(VLOOKUP(A28,Input!$T$1:$U$92,2),Beitrag!$B$19:$N$23,Input!$K$25+1)</f>
        <v>10</v>
      </c>
      <c r="F28" s="136">
        <f>VLOOKUP(VLOOKUP(A28,Input!$T$1:$U$92,2),Beitrag!$B$19:$N$23,Input!$K$36+10)</f>
        <v>0</v>
      </c>
      <c r="G28" s="215">
        <f>IF(C28&lt;2010,0,VLOOKUP(C28,Beitrag!$A$73:$D$163,4))</f>
        <v>0.02</v>
      </c>
      <c r="H28" s="123">
        <f>IF(C28=YEAR(Input!$E$15),13-MONTH(Input!$E$15),12)</f>
        <v>12</v>
      </c>
      <c r="I28" s="123">
        <f>Input!$J$9</f>
        <v>1</v>
      </c>
      <c r="J28" s="123">
        <f t="shared" si="8"/>
        <v>12</v>
      </c>
      <c r="K28" s="114">
        <f>IF((Input!$K$2-1)&lt;A28,D28*(E28+F28)%,0)</f>
        <v>10000</v>
      </c>
      <c r="L28" s="549">
        <f t="shared" si="9"/>
        <v>30604</v>
      </c>
      <c r="M28" s="549">
        <f t="shared" si="10"/>
        <v>21067</v>
      </c>
      <c r="N28" s="136"/>
      <c r="O28" s="549"/>
      <c r="P28" s="549">
        <f t="shared" si="11"/>
        <v>30000</v>
      </c>
      <c r="Q28" s="549">
        <f t="shared" si="12"/>
        <v>20833.333333333332</v>
      </c>
      <c r="R28" s="942"/>
      <c r="S28" s="562">
        <f>IF((Input!$K$2-1)&lt;A28,(S$4*VLOOKUP(B28,Beitrag!$B$19:$C$24,2)%)/12*H28,0)</f>
        <v>6247.5</v>
      </c>
      <c r="T28" s="215">
        <f>IF(C28&lt;2010,0,Beitrag!O73)</f>
        <v>0.01</v>
      </c>
      <c r="U28" s="549">
        <f t="shared" si="6"/>
        <v>18930.549749999998</v>
      </c>
      <c r="V28" s="549">
        <f t="shared" si="7"/>
        <v>18815.4395625</v>
      </c>
      <c r="W28" s="562"/>
      <c r="X28" s="548"/>
      <c r="Y28" s="113"/>
      <c r="Z28" s="114">
        <f>IF((Input!$K$2-1)&lt;A28,D28*(E28+F28)%,0)</f>
        <v>10000</v>
      </c>
      <c r="AA28" s="114">
        <f t="shared" si="13"/>
        <v>10000</v>
      </c>
    </row>
    <row r="29" spans="1:27" ht="14.25" customHeight="1" x14ac:dyDescent="0.25">
      <c r="A29" s="122">
        <v>42</v>
      </c>
      <c r="B29" s="120">
        <v>3</v>
      </c>
      <c r="C29" s="123">
        <f>A29+Input!$J$10</f>
        <v>2027</v>
      </c>
      <c r="D29" s="549">
        <f>Input!$E$24</f>
        <v>100000</v>
      </c>
      <c r="E29" s="136">
        <f>VLOOKUP(VLOOKUP(A29,Input!$T$1:$U$92,2),Beitrag!$B$19:$N$23,Input!$K$25+1)</f>
        <v>10</v>
      </c>
      <c r="F29" s="136">
        <f>VLOOKUP(VLOOKUP(A29,Input!$T$1:$U$92,2),Beitrag!$B$19:$N$23,Input!$K$36+10)</f>
        <v>0</v>
      </c>
      <c r="G29" s="215">
        <f>IF(C29&lt;2010,0,VLOOKUP(C29,Beitrag!$A$73:$D$163,4))</f>
        <v>0.02</v>
      </c>
      <c r="H29" s="123">
        <f>IF(C29=YEAR(Input!$E$15),13-MONTH(Input!$E$15),12)</f>
        <v>12</v>
      </c>
      <c r="I29" s="123">
        <f>Input!$J$9</f>
        <v>1</v>
      </c>
      <c r="J29" s="123">
        <f t="shared" si="8"/>
        <v>12</v>
      </c>
      <c r="K29" s="114">
        <f>IF((Input!$K$2-1)&lt;A29,D29*(E29+F29)%,0)</f>
        <v>10000</v>
      </c>
      <c r="L29" s="549">
        <f t="shared" si="9"/>
        <v>41216.080000000002</v>
      </c>
      <c r="M29" s="549">
        <f t="shared" si="10"/>
        <v>31488.34</v>
      </c>
      <c r="N29" s="136"/>
      <c r="O29" s="549"/>
      <c r="P29" s="549">
        <f t="shared" si="11"/>
        <v>40000</v>
      </c>
      <c r="Q29" s="549">
        <f t="shared" si="12"/>
        <v>30833.333333333332</v>
      </c>
      <c r="R29" s="942"/>
      <c r="S29" s="562">
        <f>IF((Input!$K$2-1)&lt;A29,(S$4*VLOOKUP(B29,Beitrag!$B$19:$C$24,2)%)/12*H29,0)</f>
        <v>6247.5</v>
      </c>
      <c r="T29" s="215">
        <f>IF(C29&lt;2010,0,Beitrag!O73)</f>
        <v>0.01</v>
      </c>
      <c r="U29" s="549">
        <f t="shared" si="6"/>
        <v>25367.3552475</v>
      </c>
      <c r="V29" s="549">
        <f t="shared" si="7"/>
        <v>25193.825208124999</v>
      </c>
      <c r="W29" s="562"/>
      <c r="X29" s="548"/>
      <c r="Y29" s="113"/>
      <c r="Z29" s="114">
        <f>IF((Input!$K$2-1)&lt;A29,D29*(E29+F29)%,0)</f>
        <v>10000</v>
      </c>
      <c r="AA29" s="114">
        <f t="shared" si="13"/>
        <v>10000</v>
      </c>
    </row>
    <row r="30" spans="1:27" ht="14.25" customHeight="1" x14ac:dyDescent="0.25">
      <c r="A30" s="122">
        <v>43</v>
      </c>
      <c r="B30" s="120">
        <v>3</v>
      </c>
      <c r="C30" s="123">
        <f>A30+Input!$J$10</f>
        <v>2028</v>
      </c>
      <c r="D30" s="549">
        <f>Input!$E$24</f>
        <v>100000</v>
      </c>
      <c r="E30" s="136">
        <f>VLOOKUP(VLOOKUP(A30,Input!$T$1:$U$92,2),Beitrag!$B$19:$N$23,Input!$K$25+1)</f>
        <v>10</v>
      </c>
      <c r="F30" s="136">
        <f>VLOOKUP(VLOOKUP(A30,Input!$T$1:$U$92,2),Beitrag!$B$19:$N$23,Input!$K$36+10)</f>
        <v>0</v>
      </c>
      <c r="G30" s="215">
        <f>IF(C30&lt;2010,0,VLOOKUP(C30,Beitrag!$A$73:$D$163,4))</f>
        <v>0.02</v>
      </c>
      <c r="H30" s="123">
        <f>IF(C30=YEAR(Input!$E$15),13-MONTH(Input!$E$15),12)</f>
        <v>12</v>
      </c>
      <c r="I30" s="123">
        <f>Input!$J$9</f>
        <v>1</v>
      </c>
      <c r="J30" s="123">
        <f t="shared" si="8"/>
        <v>12</v>
      </c>
      <c r="K30" s="114">
        <f>IF((Input!$K$2-1)&lt;A30,D30*(E30+F30)%,0)</f>
        <v>10000</v>
      </c>
      <c r="L30" s="549">
        <f t="shared" si="9"/>
        <v>52040.401600000005</v>
      </c>
      <c r="M30" s="549">
        <f t="shared" si="10"/>
        <v>42118.106800000001</v>
      </c>
      <c r="N30" s="136"/>
      <c r="O30" s="549"/>
      <c r="P30" s="549">
        <f t="shared" si="11"/>
        <v>50000</v>
      </c>
      <c r="Q30" s="549">
        <f t="shared" si="12"/>
        <v>40833.333333333336</v>
      </c>
      <c r="R30" s="942"/>
      <c r="S30" s="562">
        <f>IF((Input!$K$2-1)&lt;A30,(S$4*VLOOKUP(B30,Beitrag!$B$19:$C$24,2)%)/12*H30,0)</f>
        <v>6247.5</v>
      </c>
      <c r="T30" s="215">
        <f>IF(C30&lt;2010,0,Beitrag!O73)</f>
        <v>0.01</v>
      </c>
      <c r="U30" s="549">
        <f t="shared" si="6"/>
        <v>31868.528799975</v>
      </c>
      <c r="V30" s="549">
        <f t="shared" si="7"/>
        <v>31635.994710206251</v>
      </c>
      <c r="W30" s="562"/>
      <c r="X30" s="548"/>
      <c r="Y30" s="113"/>
      <c r="Z30" s="114">
        <f>IF((Input!$K$2-1)&lt;A30,D30*(E30+F30)%,0)</f>
        <v>10000</v>
      </c>
      <c r="AA30" s="114">
        <f t="shared" si="13"/>
        <v>10000</v>
      </c>
    </row>
    <row r="31" spans="1:27" ht="14.25" customHeight="1" x14ac:dyDescent="0.25">
      <c r="A31" s="122">
        <v>44</v>
      </c>
      <c r="B31" s="120">
        <v>3</v>
      </c>
      <c r="C31" s="123">
        <f>A31+Input!$J$10</f>
        <v>2029</v>
      </c>
      <c r="D31" s="549">
        <f>Input!$E$24</f>
        <v>100000</v>
      </c>
      <c r="E31" s="136">
        <f>VLOOKUP(VLOOKUP(A31,Input!$T$1:$U$92,2),Beitrag!$B$19:$N$23,Input!$K$25+1)</f>
        <v>10</v>
      </c>
      <c r="F31" s="136">
        <f>VLOOKUP(VLOOKUP(A31,Input!$T$1:$U$92,2),Beitrag!$B$19:$N$23,Input!$K$36+10)</f>
        <v>0</v>
      </c>
      <c r="G31" s="215">
        <f>IF(C31&lt;2010,0,VLOOKUP(C31,Beitrag!$A$73:$D$163,4))</f>
        <v>0.02</v>
      </c>
      <c r="H31" s="123">
        <f>IF(C31=YEAR(Input!$E$15),13-MONTH(Input!$E$15),12)</f>
        <v>12</v>
      </c>
      <c r="I31" s="123">
        <f>Input!$J$9</f>
        <v>1</v>
      </c>
      <c r="J31" s="123">
        <f t="shared" si="8"/>
        <v>12</v>
      </c>
      <c r="K31" s="114">
        <f>IF((Input!$K$2-1)&lt;A31,D31*(E31+F31)%,0)</f>
        <v>10000</v>
      </c>
      <c r="L31" s="549">
        <f t="shared" si="9"/>
        <v>63081.209632000006</v>
      </c>
      <c r="M31" s="549">
        <f t="shared" si="10"/>
        <v>52960.468936000005</v>
      </c>
      <c r="N31" s="136"/>
      <c r="O31" s="549"/>
      <c r="P31" s="549">
        <f t="shared" si="11"/>
        <v>60000</v>
      </c>
      <c r="Q31" s="549">
        <f t="shared" si="12"/>
        <v>50833.333333333336</v>
      </c>
      <c r="R31" s="942"/>
      <c r="S31" s="562">
        <f>IF((Input!$K$2-1)&lt;A31,(S$4*VLOOKUP(B31,Beitrag!$B$19:$C$24,2)%)/12*H31,0)</f>
        <v>6247.5</v>
      </c>
      <c r="T31" s="215">
        <f>IF(C31&lt;2010,0,Beitrag!O73)</f>
        <v>0.01</v>
      </c>
      <c r="U31" s="549">
        <f t="shared" si="6"/>
        <v>38434.714087974746</v>
      </c>
      <c r="V31" s="549">
        <f t="shared" si="7"/>
        <v>38142.585907308312</v>
      </c>
      <c r="W31" s="562"/>
      <c r="X31" s="548"/>
      <c r="Y31" s="113"/>
      <c r="Z31" s="114">
        <f>IF((Input!$K$2-1)&lt;A31,D31*(E31+F31)%,0)</f>
        <v>10000</v>
      </c>
      <c r="AA31" s="114">
        <f t="shared" si="13"/>
        <v>10000</v>
      </c>
    </row>
    <row r="32" spans="1:27" ht="14.25" customHeight="1" x14ac:dyDescent="0.25">
      <c r="A32" s="122">
        <v>45</v>
      </c>
      <c r="B32" s="120">
        <v>4</v>
      </c>
      <c r="C32" s="123">
        <f>A32+Input!$J$10</f>
        <v>2030</v>
      </c>
      <c r="D32" s="549">
        <f>Input!$E$24</f>
        <v>100000</v>
      </c>
      <c r="E32" s="136">
        <f>VLOOKUP(VLOOKUP(A32,Input!$T$1:$U$92,2),Beitrag!$B$19:$N$23,Input!$K$25+1)</f>
        <v>15</v>
      </c>
      <c r="F32" s="136">
        <f>VLOOKUP(VLOOKUP(A32,Input!$T$1:$U$92,2),Beitrag!$B$19:$N$23,Input!$K$36+10)</f>
        <v>0</v>
      </c>
      <c r="G32" s="215">
        <f>IF(C32&lt;2010,0,VLOOKUP(C32,Beitrag!$A$73:$D$163,4))</f>
        <v>0.02</v>
      </c>
      <c r="H32" s="123">
        <f>IF(C32=YEAR(Input!$E$15),13-MONTH(Input!$E$15),12)</f>
        <v>12</v>
      </c>
      <c r="I32" s="123">
        <f>Input!$J$9</f>
        <v>1</v>
      </c>
      <c r="J32" s="123">
        <f t="shared" si="8"/>
        <v>12</v>
      </c>
      <c r="K32" s="114">
        <f>IF((Input!$K$2-1)&lt;A32,D32*(E32+F32)%,0)</f>
        <v>15000</v>
      </c>
      <c r="L32" s="549">
        <f t="shared" si="9"/>
        <v>79342.833824640009</v>
      </c>
      <c r="M32" s="549">
        <f t="shared" si="10"/>
        <v>64436.344981386675</v>
      </c>
      <c r="N32" s="136"/>
      <c r="O32" s="549"/>
      <c r="P32" s="549">
        <f t="shared" si="11"/>
        <v>75000</v>
      </c>
      <c r="Q32" s="549">
        <f t="shared" si="12"/>
        <v>61250</v>
      </c>
      <c r="R32" s="942"/>
      <c r="S32" s="562">
        <f>IF((Input!$K$2-1)&lt;A32,(S$4*VLOOKUP(B32,Beitrag!$B$19:$C$24,2)%)/12*H32,0)</f>
        <v>9371.25</v>
      </c>
      <c r="T32" s="215">
        <f>IF(C32&lt;2010,0,Beitrag!O73)</f>
        <v>0.01</v>
      </c>
      <c r="U32" s="549">
        <f t="shared" si="6"/>
        <v>48190.311228854494</v>
      </c>
      <c r="V32" s="549">
        <f t="shared" si="7"/>
        <v>47837.993016381391</v>
      </c>
      <c r="W32" s="562"/>
      <c r="X32" s="548"/>
      <c r="Y32" s="113"/>
      <c r="Z32" s="114">
        <f>IF((Input!$K$2-1)&lt;A32,D32*(E32+F32)%,0)</f>
        <v>15000</v>
      </c>
      <c r="AA32" s="114">
        <f t="shared" si="13"/>
        <v>15000</v>
      </c>
    </row>
    <row r="33" spans="1:27" ht="14.25" customHeight="1" x14ac:dyDescent="0.25">
      <c r="A33" s="122">
        <v>46</v>
      </c>
      <c r="B33" s="120">
        <v>4</v>
      </c>
      <c r="C33" s="123">
        <f>A33+Input!$J$10</f>
        <v>2031</v>
      </c>
      <c r="D33" s="549">
        <f>Input!$E$24</f>
        <v>100000</v>
      </c>
      <c r="E33" s="136">
        <f>VLOOKUP(VLOOKUP(A33,Input!$T$1:$U$92,2),Beitrag!$B$19:$N$23,Input!$K$25+1)</f>
        <v>15</v>
      </c>
      <c r="F33" s="136">
        <f>VLOOKUP(VLOOKUP(A33,Input!$T$1:$U$92,2),Beitrag!$B$19:$N$23,Input!$K$36+10)</f>
        <v>0</v>
      </c>
      <c r="G33" s="215">
        <f>IF(C33&lt;2010,0,VLOOKUP(C33,Beitrag!$A$73:$D$163,4))</f>
        <v>0.02</v>
      </c>
      <c r="H33" s="123">
        <f>IF(C33=YEAR(Input!$E$15),13-MONTH(Input!$E$15),12)</f>
        <v>12</v>
      </c>
      <c r="I33" s="123">
        <f>Input!$J$9</f>
        <v>1</v>
      </c>
      <c r="J33" s="123">
        <f t="shared" si="8"/>
        <v>12</v>
      </c>
      <c r="K33" s="114">
        <f>IF((Input!$K$2-1)&lt;A33,D33*(E33+F33)%,0)</f>
        <v>15000</v>
      </c>
      <c r="L33" s="549">
        <f t="shared" si="9"/>
        <v>95929.690501132805</v>
      </c>
      <c r="M33" s="549">
        <f t="shared" si="10"/>
        <v>80725.071881014403</v>
      </c>
      <c r="N33" s="136"/>
      <c r="O33" s="549"/>
      <c r="P33" s="549">
        <f t="shared" si="11"/>
        <v>90000</v>
      </c>
      <c r="Q33" s="549">
        <f t="shared" si="12"/>
        <v>76250</v>
      </c>
      <c r="R33" s="942"/>
      <c r="S33" s="562">
        <f>IF((Input!$K$2-1)&lt;A33,(S$4*VLOOKUP(B33,Beitrag!$B$19:$C$24,2)%)/12*H33,0)</f>
        <v>9371.25</v>
      </c>
      <c r="T33" s="215">
        <f>IF(C33&lt;2010,0,Beitrag!O73)</f>
        <v>0.01</v>
      </c>
      <c r="U33" s="549">
        <f t="shared" si="6"/>
        <v>58043.464341143037</v>
      </c>
      <c r="V33" s="549">
        <f t="shared" si="7"/>
        <v>57601.719821545208</v>
      </c>
      <c r="W33" s="562"/>
      <c r="X33" s="548"/>
      <c r="Y33" s="113"/>
      <c r="Z33" s="114">
        <f>IF((Input!$K$2-1)&lt;A33,D33*(E33+F33)%,0)</f>
        <v>15000</v>
      </c>
      <c r="AA33" s="114">
        <f t="shared" si="13"/>
        <v>15000</v>
      </c>
    </row>
    <row r="34" spans="1:27" ht="14.25" customHeight="1" x14ac:dyDescent="0.25">
      <c r="A34" s="122">
        <v>47</v>
      </c>
      <c r="B34" s="120">
        <v>4</v>
      </c>
      <c r="C34" s="123">
        <f>A34+Input!$J$10</f>
        <v>2032</v>
      </c>
      <c r="D34" s="549">
        <f>Input!$E$24</f>
        <v>100000</v>
      </c>
      <c r="E34" s="136">
        <f>VLOOKUP(VLOOKUP(A34,Input!$T$1:$U$92,2),Beitrag!$B$19:$N$23,Input!$K$25+1)</f>
        <v>15</v>
      </c>
      <c r="F34" s="136">
        <f>VLOOKUP(VLOOKUP(A34,Input!$T$1:$U$92,2),Beitrag!$B$19:$N$23,Input!$K$36+10)</f>
        <v>0</v>
      </c>
      <c r="G34" s="215">
        <f>IF(C34&lt;2010,0,VLOOKUP(C34,Beitrag!$A$73:$D$163,4))</f>
        <v>0.02</v>
      </c>
      <c r="H34" s="123">
        <f>IF(C34=YEAR(Input!$E$15),13-MONTH(Input!$E$15),12)</f>
        <v>12</v>
      </c>
      <c r="I34" s="123">
        <f>Input!$J$9</f>
        <v>1</v>
      </c>
      <c r="J34" s="123">
        <f t="shared" si="8"/>
        <v>12</v>
      </c>
      <c r="K34" s="114">
        <f>IF((Input!$K$2-1)&lt;A34,D34*(E34+F34)%,0)</f>
        <v>15000</v>
      </c>
      <c r="L34" s="549">
        <f t="shared" si="9"/>
        <v>112848.28431115547</v>
      </c>
      <c r="M34" s="549">
        <f t="shared" si="10"/>
        <v>97339.573318634692</v>
      </c>
      <c r="N34" s="136"/>
      <c r="O34" s="549"/>
      <c r="P34" s="549">
        <f t="shared" si="11"/>
        <v>105000</v>
      </c>
      <c r="Q34" s="549">
        <f t="shared" si="12"/>
        <v>91250</v>
      </c>
      <c r="R34" s="942"/>
      <c r="S34" s="562">
        <f>IF((Input!$K$2-1)&lt;A34,(S$4*VLOOKUP(B34,Beitrag!$B$19:$C$24,2)%)/12*H34,0)</f>
        <v>9371.25</v>
      </c>
      <c r="T34" s="215">
        <f>IF(C34&lt;2010,0,Beitrag!O73)</f>
        <v>0.01</v>
      </c>
      <c r="U34" s="549">
        <f t="shared" si="6"/>
        <v>67995.148984554457</v>
      </c>
      <c r="V34" s="549">
        <f t="shared" si="7"/>
        <v>67463.083894760653</v>
      </c>
      <c r="W34" s="562"/>
      <c r="X34" s="548"/>
      <c r="Y34" s="113"/>
      <c r="Z34" s="114">
        <f>IF((Input!$K$2-1)&lt;A34,D34*(E34+F34)%,0)</f>
        <v>15000</v>
      </c>
      <c r="AA34" s="114">
        <f t="shared" si="13"/>
        <v>15000</v>
      </c>
    </row>
    <row r="35" spans="1:27" ht="14.25" customHeight="1" x14ac:dyDescent="0.25">
      <c r="A35" s="122">
        <v>48</v>
      </c>
      <c r="B35" s="120">
        <v>4</v>
      </c>
      <c r="C35" s="123">
        <f>A35+Input!$J$10</f>
        <v>2033</v>
      </c>
      <c r="D35" s="549">
        <f>Input!$E$24</f>
        <v>100000</v>
      </c>
      <c r="E35" s="136">
        <f>VLOOKUP(VLOOKUP(A35,Input!$T$1:$U$92,2),Beitrag!$B$19:$N$23,Input!$K$25+1)</f>
        <v>15</v>
      </c>
      <c r="F35" s="136">
        <f>VLOOKUP(VLOOKUP(A35,Input!$T$1:$U$92,2),Beitrag!$B$19:$N$23,Input!$K$36+10)</f>
        <v>0</v>
      </c>
      <c r="G35" s="215">
        <f>IF(C35&lt;2010,0,VLOOKUP(C35,Beitrag!$A$73:$D$163,4))</f>
        <v>0.02</v>
      </c>
      <c r="H35" s="123">
        <f>IF(C35=YEAR(Input!$E$15),13-MONTH(Input!$E$15),12)</f>
        <v>12</v>
      </c>
      <c r="I35" s="123">
        <f>Input!$J$9</f>
        <v>1</v>
      </c>
      <c r="J35" s="123">
        <f t="shared" si="8"/>
        <v>12</v>
      </c>
      <c r="K35" s="114">
        <f>IF((Input!$K$2-1)&lt;A35,D35*(E35+F35)%,0)</f>
        <v>15000</v>
      </c>
      <c r="L35" s="549">
        <f t="shared" si="9"/>
        <v>130105.24999737857</v>
      </c>
      <c r="M35" s="549">
        <f t="shared" si="10"/>
        <v>114286.36478500739</v>
      </c>
      <c r="N35" s="136"/>
      <c r="O35" s="549"/>
      <c r="P35" s="549">
        <f t="shared" si="11"/>
        <v>120000</v>
      </c>
      <c r="Q35" s="549">
        <f t="shared" si="12"/>
        <v>106250</v>
      </c>
      <c r="R35" s="942"/>
      <c r="S35" s="562">
        <f>IF((Input!$K$2-1)&lt;A35,(S$4*VLOOKUP(B35,Beitrag!$B$19:$C$24,2)%)/12*H35,0)</f>
        <v>9371.25</v>
      </c>
      <c r="T35" s="215">
        <f>IF(C35&lt;2010,0,Beitrag!O73)</f>
        <v>0.01</v>
      </c>
      <c r="U35" s="549">
        <f t="shared" si="6"/>
        <v>78046.350474399995</v>
      </c>
      <c r="V35" s="549">
        <f t="shared" si="7"/>
        <v>77423.061608708245</v>
      </c>
      <c r="W35" s="562"/>
      <c r="X35" s="548"/>
      <c r="Y35" s="113"/>
      <c r="Z35" s="114">
        <f>IF((Input!$K$2-1)&lt;A35,D35*(E35+F35)%,0)</f>
        <v>15000</v>
      </c>
      <c r="AA35" s="114">
        <f t="shared" si="13"/>
        <v>15000</v>
      </c>
    </row>
    <row r="36" spans="1:27" ht="14.25" customHeight="1" x14ac:dyDescent="0.25">
      <c r="A36" s="122">
        <v>49</v>
      </c>
      <c r="B36" s="120">
        <v>4</v>
      </c>
      <c r="C36" s="123">
        <f>A36+Input!$J$10</f>
        <v>2034</v>
      </c>
      <c r="D36" s="549">
        <f>Input!$E$24</f>
        <v>100000</v>
      </c>
      <c r="E36" s="136">
        <f>VLOOKUP(VLOOKUP(A36,Input!$T$1:$U$92,2),Beitrag!$B$19:$N$23,Input!$K$25+1)</f>
        <v>15</v>
      </c>
      <c r="F36" s="136">
        <f>VLOOKUP(VLOOKUP(A36,Input!$T$1:$U$92,2),Beitrag!$B$19:$N$23,Input!$K$36+10)</f>
        <v>0</v>
      </c>
      <c r="G36" s="215">
        <f>IF(C36&lt;2010,0,VLOOKUP(C36,Beitrag!$A$73:$D$163,4))</f>
        <v>0.02</v>
      </c>
      <c r="H36" s="123">
        <f>IF(C36=YEAR(Input!$E$15),13-MONTH(Input!$E$15),12)</f>
        <v>12</v>
      </c>
      <c r="I36" s="123">
        <f>Input!$J$9</f>
        <v>1</v>
      </c>
      <c r="J36" s="123">
        <f t="shared" si="8"/>
        <v>12</v>
      </c>
      <c r="K36" s="114">
        <f>IF((Input!$K$2-1)&lt;A36,D36*(E36+F36)%,0)</f>
        <v>15000</v>
      </c>
      <c r="L36" s="549">
        <f t="shared" si="9"/>
        <v>147707.35499732615</v>
      </c>
      <c r="M36" s="549">
        <f t="shared" si="10"/>
        <v>131572.09208070755</v>
      </c>
      <c r="N36" s="136"/>
      <c r="O36" s="549"/>
      <c r="P36" s="549">
        <f t="shared" si="11"/>
        <v>135000</v>
      </c>
      <c r="Q36" s="549">
        <f t="shared" si="12"/>
        <v>121250</v>
      </c>
      <c r="R36" s="942"/>
      <c r="S36" s="562">
        <f>IF((Input!$K$2-1)&lt;A36,(S$4*VLOOKUP(B36,Beitrag!$B$19:$C$24,2)%)/12*H36,0)</f>
        <v>9371.25</v>
      </c>
      <c r="T36" s="215">
        <f>IF(C36&lt;2010,0,Beitrag!O73)</f>
        <v>0.01</v>
      </c>
      <c r="U36" s="549">
        <f t="shared" si="6"/>
        <v>88198.06397914399</v>
      </c>
      <c r="V36" s="549">
        <f t="shared" si="7"/>
        <v>87482.639099795328</v>
      </c>
      <c r="W36" s="562"/>
      <c r="X36" s="548"/>
      <c r="Y36" s="113"/>
      <c r="Z36" s="114">
        <f>IF((Input!$K$2-1)&lt;A36,D36*(E36+F36)%,0)</f>
        <v>15000</v>
      </c>
      <c r="AA36" s="114">
        <f t="shared" si="13"/>
        <v>15000</v>
      </c>
    </row>
    <row r="37" spans="1:27" ht="14.25" customHeight="1" x14ac:dyDescent="0.25">
      <c r="A37" s="122">
        <v>50</v>
      </c>
      <c r="B37" s="120">
        <v>4</v>
      </c>
      <c r="C37" s="123">
        <f>A37+Input!$J$10</f>
        <v>2035</v>
      </c>
      <c r="D37" s="549">
        <f>Input!$E$24</f>
        <v>100000</v>
      </c>
      <c r="E37" s="136">
        <f>VLOOKUP(VLOOKUP(A37,Input!$T$1:$U$92,2),Beitrag!$B$19:$N$23,Input!$K$25+1)</f>
        <v>15</v>
      </c>
      <c r="F37" s="136">
        <f>VLOOKUP(VLOOKUP(A37,Input!$T$1:$U$92,2),Beitrag!$B$19:$N$23,Input!$K$36+10)</f>
        <v>0</v>
      </c>
      <c r="G37" s="215">
        <f>IF(C37&lt;2010,0,VLOOKUP(C37,Beitrag!$A$73:$D$163,4))</f>
        <v>0.02</v>
      </c>
      <c r="H37" s="123">
        <f>IF(C37=YEAR(Input!$E$15),13-MONTH(Input!$E$15),12)</f>
        <v>12</v>
      </c>
      <c r="I37" s="123">
        <f>Input!$J$9</f>
        <v>1</v>
      </c>
      <c r="J37" s="123">
        <f t="shared" si="8"/>
        <v>12</v>
      </c>
      <c r="K37" s="114">
        <f>IF((Input!$K$2-1)&lt;A37,D37*(E37+F37)%,0)</f>
        <v>15000</v>
      </c>
      <c r="L37" s="549">
        <f t="shared" si="9"/>
        <v>165661.50209727266</v>
      </c>
      <c r="M37" s="549">
        <f t="shared" si="10"/>
        <v>149203.53392232169</v>
      </c>
      <c r="N37" s="136"/>
      <c r="O37" s="549"/>
      <c r="P37" s="549">
        <f t="shared" si="11"/>
        <v>150000</v>
      </c>
      <c r="Q37" s="549">
        <f t="shared" si="12"/>
        <v>136250</v>
      </c>
      <c r="R37" s="942"/>
      <c r="S37" s="562">
        <f>IF((Input!$K$2-1)&lt;A37,(S$4*VLOOKUP(B37,Beitrag!$B$19:$C$24,2)%)/12*H37,0)</f>
        <v>9371.25</v>
      </c>
      <c r="T37" s="215">
        <f>IF(C37&lt;2010,0,Beitrag!O73)</f>
        <v>0.01</v>
      </c>
      <c r="U37" s="549">
        <f t="shared" si="6"/>
        <v>98451.294618935426</v>
      </c>
      <c r="V37" s="549">
        <f t="shared" si="7"/>
        <v>97642.812365793274</v>
      </c>
      <c r="W37" s="562"/>
      <c r="X37" s="548"/>
      <c r="Y37" s="113"/>
      <c r="Z37" s="114">
        <f>IF((Input!$K$2-1)&lt;A37,D37*(E37+F37)%,0)</f>
        <v>15000</v>
      </c>
      <c r="AA37" s="114">
        <f t="shared" si="13"/>
        <v>15000</v>
      </c>
    </row>
    <row r="38" spans="1:27" ht="14.25" customHeight="1" x14ac:dyDescent="0.25">
      <c r="A38" s="122">
        <v>51</v>
      </c>
      <c r="B38" s="120">
        <v>4</v>
      </c>
      <c r="C38" s="123">
        <f>A38+Input!$J$10</f>
        <v>2036</v>
      </c>
      <c r="D38" s="549">
        <f>Input!$E$24</f>
        <v>100000</v>
      </c>
      <c r="E38" s="136">
        <f>VLOOKUP(VLOOKUP(A38,Input!$T$1:$U$92,2),Beitrag!$B$19:$N$23,Input!$K$25+1)</f>
        <v>15</v>
      </c>
      <c r="F38" s="136">
        <f>VLOOKUP(VLOOKUP(A38,Input!$T$1:$U$92,2),Beitrag!$B$19:$N$23,Input!$K$36+10)</f>
        <v>0</v>
      </c>
      <c r="G38" s="215">
        <f>IF(C38&lt;2010,0,VLOOKUP(C38,Beitrag!$A$73:$D$163,4))</f>
        <v>0.02</v>
      </c>
      <c r="H38" s="123">
        <f>IF(C38=YEAR(Input!$E$15),13-MONTH(Input!$E$15),12)</f>
        <v>12</v>
      </c>
      <c r="I38" s="123">
        <f>Input!$J$9</f>
        <v>1</v>
      </c>
      <c r="J38" s="123">
        <f t="shared" si="8"/>
        <v>12</v>
      </c>
      <c r="K38" s="114">
        <f>IF((Input!$K$2-1)&lt;A38,D38*(E38+F38)%,0)</f>
        <v>15000</v>
      </c>
      <c r="L38" s="549">
        <f t="shared" si="9"/>
        <v>183974.7321392181</v>
      </c>
      <c r="M38" s="549">
        <f t="shared" si="10"/>
        <v>167187.60460076813</v>
      </c>
      <c r="N38" s="136"/>
      <c r="O38" s="549"/>
      <c r="P38" s="549">
        <f t="shared" si="11"/>
        <v>165000</v>
      </c>
      <c r="Q38" s="549">
        <f t="shared" si="12"/>
        <v>151250</v>
      </c>
      <c r="R38" s="942"/>
      <c r="S38" s="562">
        <f>IF((Input!$K$2-1)&lt;A38,(S$4*VLOOKUP(B38,Beitrag!$B$19:$C$24,2)%)/12*H38,0)</f>
        <v>9371.25</v>
      </c>
      <c r="T38" s="215">
        <f>IF(C38&lt;2010,0,Beitrag!O73)</f>
        <v>0.01</v>
      </c>
      <c r="U38" s="549">
        <f t="shared" si="6"/>
        <v>108807.05756512478</v>
      </c>
      <c r="V38" s="549">
        <f t="shared" si="7"/>
        <v>107904.5873644512</v>
      </c>
      <c r="W38" s="562"/>
      <c r="X38" s="548"/>
      <c r="Y38" s="113"/>
      <c r="Z38" s="114">
        <f>IF((Input!$K$2-1)&lt;A38,D38*(E38+F38)%,0)</f>
        <v>15000</v>
      </c>
      <c r="AA38" s="114">
        <f t="shared" si="13"/>
        <v>15000</v>
      </c>
    </row>
    <row r="39" spans="1:27" ht="14.25" customHeight="1" x14ac:dyDescent="0.25">
      <c r="A39" s="122">
        <v>52</v>
      </c>
      <c r="B39" s="120">
        <v>4</v>
      </c>
      <c r="C39" s="123">
        <f>A39+Input!$J$10</f>
        <v>2037</v>
      </c>
      <c r="D39" s="549">
        <f>Input!$E$24</f>
        <v>100000</v>
      </c>
      <c r="E39" s="136">
        <f>VLOOKUP(VLOOKUP(A39,Input!$T$1:$U$92,2),Beitrag!$B$19:$N$23,Input!$K$25+1)</f>
        <v>15</v>
      </c>
      <c r="F39" s="136">
        <f>VLOOKUP(VLOOKUP(A39,Input!$T$1:$U$92,2),Beitrag!$B$19:$N$23,Input!$K$36+10)</f>
        <v>0</v>
      </c>
      <c r="G39" s="215">
        <f>IF(C39&lt;2010,0,VLOOKUP(C39,Beitrag!$A$73:$D$163,4))</f>
        <v>0.02</v>
      </c>
      <c r="H39" s="123">
        <f>IF(C39=YEAR(Input!$E$15),13-MONTH(Input!$E$15),12)</f>
        <v>12</v>
      </c>
      <c r="I39" s="123">
        <f>Input!$J$9</f>
        <v>1</v>
      </c>
      <c r="J39" s="123">
        <f t="shared" si="8"/>
        <v>12</v>
      </c>
      <c r="K39" s="114">
        <f>IF((Input!$K$2-1)&lt;A39,D39*(E39+F39)%,0)</f>
        <v>15000</v>
      </c>
      <c r="L39" s="549">
        <f t="shared" si="9"/>
        <v>202654.22678200246</v>
      </c>
      <c r="M39" s="549">
        <f t="shared" si="10"/>
        <v>185531.35669278348</v>
      </c>
      <c r="N39" s="136"/>
      <c r="O39" s="549"/>
      <c r="P39" s="549">
        <f t="shared" si="11"/>
        <v>180000</v>
      </c>
      <c r="Q39" s="549">
        <f t="shared" si="12"/>
        <v>166250</v>
      </c>
      <c r="R39" s="942"/>
      <c r="S39" s="562">
        <f>IF((Input!$K$2-1)&lt;A39,(S$4*VLOOKUP(B39,Beitrag!$B$19:$C$24,2)%)/12*H39,0)</f>
        <v>9371.25</v>
      </c>
      <c r="T39" s="215">
        <f>IF(C39&lt;2010,0,Beitrag!O73)</f>
        <v>0.01</v>
      </c>
      <c r="U39" s="549">
        <f t="shared" si="6"/>
        <v>119266.37814077603</v>
      </c>
      <c r="V39" s="549">
        <f t="shared" si="7"/>
        <v>118268.98011309572</v>
      </c>
      <c r="W39" s="562"/>
      <c r="X39" s="548"/>
      <c r="Y39" s="113"/>
      <c r="Z39" s="114">
        <f>IF((Input!$K$2-1)&lt;A39,D39*(E39+F39)%,0)</f>
        <v>15000</v>
      </c>
      <c r="AA39" s="114">
        <f t="shared" si="13"/>
        <v>15000</v>
      </c>
    </row>
    <row r="40" spans="1:27" ht="14.25" customHeight="1" x14ac:dyDescent="0.25">
      <c r="A40" s="122">
        <v>53</v>
      </c>
      <c r="B40" s="120">
        <v>4</v>
      </c>
      <c r="C40" s="123">
        <f>A40+Input!$J$10</f>
        <v>2038</v>
      </c>
      <c r="D40" s="549">
        <f>Input!$E$24</f>
        <v>100000</v>
      </c>
      <c r="E40" s="136">
        <f>VLOOKUP(VLOOKUP(A40,Input!$T$1:$U$92,2),Beitrag!$B$19:$N$23,Input!$K$25+1)</f>
        <v>15</v>
      </c>
      <c r="F40" s="136">
        <f>VLOOKUP(VLOOKUP(A40,Input!$T$1:$U$92,2),Beitrag!$B$19:$N$23,Input!$K$36+10)</f>
        <v>0</v>
      </c>
      <c r="G40" s="215">
        <f>IF(C40&lt;2010,0,VLOOKUP(C40,Beitrag!$A$73:$D$163,4))</f>
        <v>0.02</v>
      </c>
      <c r="H40" s="123">
        <f>IF(C40=YEAR(Input!$E$15),13-MONTH(Input!$E$15),12)</f>
        <v>12</v>
      </c>
      <c r="I40" s="123">
        <f>Input!$J$9</f>
        <v>1</v>
      </c>
      <c r="J40" s="123">
        <f t="shared" si="8"/>
        <v>12</v>
      </c>
      <c r="K40" s="114">
        <f>IF((Input!$K$2-1)&lt;A40,D40*(E40+F40)%,0)</f>
        <v>15000</v>
      </c>
      <c r="L40" s="549">
        <f t="shared" si="9"/>
        <v>221707.31131764251</v>
      </c>
      <c r="M40" s="549">
        <f t="shared" si="10"/>
        <v>204241.98382663913</v>
      </c>
      <c r="N40" s="136"/>
      <c r="O40" s="549"/>
      <c r="P40" s="549">
        <f t="shared" si="11"/>
        <v>195000</v>
      </c>
      <c r="Q40" s="549">
        <f t="shared" si="12"/>
        <v>181250</v>
      </c>
      <c r="R40" s="942"/>
      <c r="S40" s="562">
        <f>IF((Input!$K$2-1)&lt;A40,(S$4*VLOOKUP(B40,Beitrag!$B$19:$C$24,2)%)/12*H40,0)</f>
        <v>9371.25</v>
      </c>
      <c r="T40" s="215">
        <f>IF(C40&lt;2010,0,Beitrag!O73)</f>
        <v>0.01</v>
      </c>
      <c r="U40" s="549">
        <f t="shared" si="6"/>
        <v>129830.29192218378</v>
      </c>
      <c r="V40" s="549">
        <f t="shared" si="7"/>
        <v>128737.01678922668</v>
      </c>
      <c r="W40" s="562"/>
      <c r="X40" s="548"/>
      <c r="Y40" s="113"/>
      <c r="Z40" s="114">
        <f>IF((Input!$K$2-1)&lt;A40,D40*(E40+F40)%,0)</f>
        <v>15000</v>
      </c>
      <c r="AA40" s="114">
        <f t="shared" si="13"/>
        <v>15000</v>
      </c>
    </row>
    <row r="41" spans="1:27" ht="14.25" customHeight="1" x14ac:dyDescent="0.25">
      <c r="A41" s="122">
        <v>54</v>
      </c>
      <c r="B41" s="120">
        <v>4</v>
      </c>
      <c r="C41" s="123">
        <f>A41+Input!$J$10</f>
        <v>2039</v>
      </c>
      <c r="D41" s="549">
        <f>Input!$E$24</f>
        <v>100000</v>
      </c>
      <c r="E41" s="136">
        <f>VLOOKUP(VLOOKUP(A41,Input!$T$1:$U$92,2),Beitrag!$B$19:$N$23,Input!$K$25+1)</f>
        <v>15</v>
      </c>
      <c r="F41" s="136">
        <f>VLOOKUP(VLOOKUP(A41,Input!$T$1:$U$92,2),Beitrag!$B$19:$N$23,Input!$K$36+10)</f>
        <v>0</v>
      </c>
      <c r="G41" s="215">
        <f>IF(C41&lt;2010,0,VLOOKUP(C41,Beitrag!$A$73:$D$163,4))</f>
        <v>0.02</v>
      </c>
      <c r="H41" s="123">
        <f>IF(C41=YEAR(Input!$E$15),13-MONTH(Input!$E$15),12)</f>
        <v>12</v>
      </c>
      <c r="I41" s="123">
        <f>Input!$J$9</f>
        <v>1</v>
      </c>
      <c r="J41" s="123">
        <f t="shared" si="8"/>
        <v>12</v>
      </c>
      <c r="K41" s="114">
        <f>IF((Input!$K$2-1)&lt;A41,D41*(E41+F41)%,0)</f>
        <v>15000</v>
      </c>
      <c r="L41" s="549">
        <f t="shared" si="9"/>
        <v>241141.45754399535</v>
      </c>
      <c r="M41" s="549">
        <f t="shared" si="10"/>
        <v>223326.82350317191</v>
      </c>
      <c r="N41" s="136"/>
      <c r="O41" s="549"/>
      <c r="P41" s="549">
        <f t="shared" si="11"/>
        <v>210000</v>
      </c>
      <c r="Q41" s="549">
        <f t="shared" si="12"/>
        <v>196250</v>
      </c>
      <c r="R41" s="942"/>
      <c r="S41" s="562">
        <f>IF((Input!$K$2-1)&lt;A41,(S$4*VLOOKUP(B41,Beitrag!$B$19:$C$24,2)%)/12*H41,0)</f>
        <v>9371.25</v>
      </c>
      <c r="T41" s="215">
        <f>IF(C41&lt;2010,0,Beitrag!O73)</f>
        <v>0.01</v>
      </c>
      <c r="U41" s="549">
        <f t="shared" si="6"/>
        <v>140499.8448414056</v>
      </c>
      <c r="V41" s="549">
        <f t="shared" si="7"/>
        <v>139309.73383211892</v>
      </c>
      <c r="W41" s="562"/>
      <c r="X41" s="548"/>
      <c r="Y41" s="113"/>
      <c r="Z41" s="114">
        <f>IF((Input!$K$2-1)&lt;A41,D41*(E41+F41)%,0)</f>
        <v>15000</v>
      </c>
      <c r="AA41" s="114">
        <f t="shared" si="13"/>
        <v>15000</v>
      </c>
    </row>
    <row r="42" spans="1:27" ht="14.25" customHeight="1" x14ac:dyDescent="0.25">
      <c r="A42" s="122">
        <v>55</v>
      </c>
      <c r="B42" s="120">
        <v>5</v>
      </c>
      <c r="C42" s="123">
        <f>A42+Input!$J$10</f>
        <v>2040</v>
      </c>
      <c r="D42" s="549">
        <f>Input!$E$24</f>
        <v>100000</v>
      </c>
      <c r="E42" s="136">
        <f>VLOOKUP(VLOOKUP(A42,Input!$T$1:$U$92,2),Beitrag!$B$19:$N$23,Input!$K$25+1)</f>
        <v>18</v>
      </c>
      <c r="F42" s="136">
        <f>VLOOKUP(VLOOKUP(A42,Input!$T$1:$U$92,2),Beitrag!$B$19:$N$23,Input!$K$36+10)</f>
        <v>0</v>
      </c>
      <c r="G42" s="215">
        <f>IF(C42&lt;2010,0,VLOOKUP(C42,Beitrag!$A$73:$D$163,4))</f>
        <v>0.02</v>
      </c>
      <c r="H42" s="123">
        <f>IF(C42=YEAR(Input!$E$15),13-MONTH(Input!$E$15),12)</f>
        <v>12</v>
      </c>
      <c r="I42" s="123">
        <f>Input!$J$9</f>
        <v>1</v>
      </c>
      <c r="J42" s="123">
        <f t="shared" si="8"/>
        <v>12</v>
      </c>
      <c r="K42" s="114">
        <f>IF((Input!$K$2-1)&lt;A42,D42*(E42+F42)%,0)</f>
        <v>18000</v>
      </c>
      <c r="L42" s="549">
        <f t="shared" si="9"/>
        <v>263964.28669487522</v>
      </c>
      <c r="M42" s="549">
        <f t="shared" si="10"/>
        <v>243043.35997323535</v>
      </c>
      <c r="N42" s="136"/>
      <c r="O42" s="549"/>
      <c r="P42" s="549">
        <f t="shared" si="11"/>
        <v>228000</v>
      </c>
      <c r="Q42" s="549">
        <f t="shared" si="12"/>
        <v>211500</v>
      </c>
      <c r="R42" s="942"/>
      <c r="S42" s="562">
        <f>IF((Input!$K$2-1)&lt;A42,(S$4*VLOOKUP(B42,Beitrag!$B$19:$C$24,2)%)/12*H42,0)</f>
        <v>11245.5</v>
      </c>
      <c r="T42" s="215">
        <f>IF(C42&lt;2010,0,Beitrag!O73)</f>
        <v>0.01</v>
      </c>
      <c r="U42" s="549">
        <f t="shared" si="6"/>
        <v>153150.34328981966</v>
      </c>
      <c r="V42" s="549">
        <f t="shared" si="7"/>
        <v>151862.42804544012</v>
      </c>
      <c r="W42" s="562"/>
      <c r="X42" s="548"/>
      <c r="Y42" s="113"/>
      <c r="Z42" s="114">
        <f>IF((Input!$K$2-1)&lt;A42,D42*(E42+F42)%,0)</f>
        <v>18000</v>
      </c>
      <c r="AA42" s="114">
        <f t="shared" si="13"/>
        <v>18000</v>
      </c>
    </row>
    <row r="43" spans="1:27" ht="14.25" customHeight="1" x14ac:dyDescent="0.25">
      <c r="A43" s="122">
        <v>56</v>
      </c>
      <c r="B43" s="120">
        <v>5</v>
      </c>
      <c r="C43" s="123">
        <f>A43+Input!$J$10</f>
        <v>2041</v>
      </c>
      <c r="D43" s="549">
        <f>Input!$E$24</f>
        <v>100000</v>
      </c>
      <c r="E43" s="136">
        <f>VLOOKUP(VLOOKUP(A43,Input!$T$1:$U$92,2),Beitrag!$B$19:$N$23,Input!$K$25+1)</f>
        <v>18</v>
      </c>
      <c r="F43" s="136">
        <f>VLOOKUP(VLOOKUP(A43,Input!$T$1:$U$92,2),Beitrag!$B$19:$N$23,Input!$K$36+10)</f>
        <v>0</v>
      </c>
      <c r="G43" s="215">
        <f>IF(C43&lt;2010,0,VLOOKUP(C43,Beitrag!$A$73:$D$163,4))</f>
        <v>0.02</v>
      </c>
      <c r="H43" s="123">
        <f>IF(C43=YEAR(Input!$E$15),13-MONTH(Input!$E$15),12)</f>
        <v>12</v>
      </c>
      <c r="I43" s="123">
        <f>Input!$J$9</f>
        <v>1</v>
      </c>
      <c r="J43" s="123">
        <f t="shared" si="8"/>
        <v>12</v>
      </c>
      <c r="K43" s="114">
        <f>IF((Input!$K$2-1)&lt;A43,D43*(E43+F43)%,0)</f>
        <v>18000</v>
      </c>
      <c r="L43" s="549">
        <f t="shared" si="9"/>
        <v>287243.57242877275</v>
      </c>
      <c r="M43" s="549">
        <f t="shared" si="10"/>
        <v>265904.22717269999</v>
      </c>
      <c r="N43" s="136"/>
      <c r="O43" s="549"/>
      <c r="P43" s="549">
        <f t="shared" si="11"/>
        <v>246000</v>
      </c>
      <c r="Q43" s="549">
        <f t="shared" si="12"/>
        <v>229500</v>
      </c>
      <c r="R43" s="942"/>
      <c r="S43" s="562">
        <f>IF((Input!$K$2-1)&lt;A43,(S$4*VLOOKUP(B43,Beitrag!$B$19:$C$24,2)%)/12*H43,0)</f>
        <v>11245.5</v>
      </c>
      <c r="T43" s="215">
        <f>IF(C43&lt;2010,0,Beitrag!O73)</f>
        <v>0.01</v>
      </c>
      <c r="U43" s="549">
        <f t="shared" si="6"/>
        <v>165927.34672271786</v>
      </c>
      <c r="V43" s="549">
        <f t="shared" si="7"/>
        <v>164523.46857589451</v>
      </c>
      <c r="W43" s="562"/>
      <c r="X43" s="548"/>
      <c r="Y43" s="113"/>
      <c r="Z43" s="114">
        <f>IF((Input!$K$2-1)&lt;A43,D43*(E43+F43)%,0)</f>
        <v>18000</v>
      </c>
      <c r="AA43" s="114">
        <f t="shared" si="13"/>
        <v>18000</v>
      </c>
    </row>
    <row r="44" spans="1:27" ht="14.25" customHeight="1" x14ac:dyDescent="0.25">
      <c r="A44" s="122">
        <v>57</v>
      </c>
      <c r="B44" s="120">
        <v>5</v>
      </c>
      <c r="C44" s="123">
        <f>A44+Input!$J$10</f>
        <v>2042</v>
      </c>
      <c r="D44" s="549">
        <f>Input!$E$24</f>
        <v>100000</v>
      </c>
      <c r="E44" s="136">
        <f>VLOOKUP(VLOOKUP(A44,Input!$T$1:$U$92,2),Beitrag!$B$19:$N$23,Input!$K$25+1)</f>
        <v>18</v>
      </c>
      <c r="F44" s="136">
        <f>VLOOKUP(VLOOKUP(A44,Input!$T$1:$U$92,2),Beitrag!$B$19:$N$23,Input!$K$36+10)</f>
        <v>0</v>
      </c>
      <c r="G44" s="215">
        <f>IF(C44&lt;2010,0,VLOOKUP(C44,Beitrag!$A$73:$D$163,4))</f>
        <v>0.02</v>
      </c>
      <c r="H44" s="123">
        <f>IF(C44=YEAR(Input!$E$15),13-MONTH(Input!$E$15),12)</f>
        <v>12</v>
      </c>
      <c r="I44" s="123">
        <f>Input!$J$9</f>
        <v>1</v>
      </c>
      <c r="J44" s="123">
        <f t="shared" si="8"/>
        <v>12</v>
      </c>
      <c r="K44" s="114">
        <f>IF((Input!$K$2-1)&lt;A44,D44*(E44+F44)%,0)</f>
        <v>18000</v>
      </c>
      <c r="L44" s="549">
        <f t="shared" si="9"/>
        <v>310988.44387734821</v>
      </c>
      <c r="M44" s="549">
        <f t="shared" si="10"/>
        <v>289222.31171615404</v>
      </c>
      <c r="N44" s="136"/>
      <c r="O44" s="549"/>
      <c r="P44" s="549">
        <f t="shared" si="11"/>
        <v>264000</v>
      </c>
      <c r="Q44" s="549">
        <f t="shared" si="12"/>
        <v>247500</v>
      </c>
      <c r="R44" s="942"/>
      <c r="S44" s="562">
        <f>IF((Input!$K$2-1)&lt;A44,(S$4*VLOOKUP(B44,Beitrag!$B$19:$C$24,2)%)/12*H44,0)</f>
        <v>11245.5</v>
      </c>
      <c r="T44" s="215">
        <f>IF(C44&lt;2010,0,Beitrag!O73)</f>
        <v>0.01</v>
      </c>
      <c r="U44" s="549">
        <f t="shared" si="6"/>
        <v>178832.12018994504</v>
      </c>
      <c r="V44" s="549">
        <f t="shared" si="7"/>
        <v>177311.11951165347</v>
      </c>
      <c r="W44" s="562"/>
      <c r="X44" s="548"/>
      <c r="Y44" s="113"/>
      <c r="Z44" s="114">
        <f>IF((Input!$K$2-1)&lt;A44,D44*(E44+F44)%,0)</f>
        <v>18000</v>
      </c>
      <c r="AA44" s="114">
        <f t="shared" si="13"/>
        <v>18000</v>
      </c>
    </row>
    <row r="45" spans="1:27" ht="14.25" customHeight="1" x14ac:dyDescent="0.25">
      <c r="A45" s="124">
        <v>58</v>
      </c>
      <c r="B45" s="120">
        <v>5</v>
      </c>
      <c r="C45" s="123">
        <f>A45+Input!$J$10</f>
        <v>2043</v>
      </c>
      <c r="D45" s="549">
        <f>Input!$E$24</f>
        <v>100000</v>
      </c>
      <c r="E45" s="136">
        <f>VLOOKUP(VLOOKUP(A45,Input!$T$1:$U$92,2),Beitrag!$B$19:$N$23,Input!$K$25+1)</f>
        <v>18</v>
      </c>
      <c r="F45" s="136">
        <f>VLOOKUP(VLOOKUP(A45,Input!$T$1:$U$92,2),Beitrag!$B$19:$N$23,Input!$K$36+10)</f>
        <v>0</v>
      </c>
      <c r="G45" s="215">
        <f>IF(C45&lt;2010,0,VLOOKUP(C45,Beitrag!$A$73:$D$163,4))</f>
        <v>0.02</v>
      </c>
      <c r="H45" s="123">
        <f>IF(C45=YEAR(Input!$E$15),13-MONTH(Input!$E$15),12)</f>
        <v>12</v>
      </c>
      <c r="I45" s="123">
        <f>Input!$J$9</f>
        <v>1</v>
      </c>
      <c r="J45" s="123">
        <f t="shared" si="8"/>
        <v>12</v>
      </c>
      <c r="K45" s="114">
        <f>IF((Input!$K$2-1)&lt;A45,D45*(E45+F45)%,0)</f>
        <v>18000</v>
      </c>
      <c r="L45" s="549">
        <f t="shared" si="9"/>
        <v>335208.21275489515</v>
      </c>
      <c r="M45" s="552">
        <f t="shared" si="10"/>
        <v>313006.75795047713</v>
      </c>
      <c r="N45" s="137">
        <f>IF(K45=0,0,IF(Leistungen!$A$61=4,Leistungen!M36,IF(Leistungen!$A$62=2,Leistungen!AL65,VLOOKUP(Leistungen!$A$60+Renten!A45,Leistungen!$D$65:$AN$90,VLOOKUP(C45,Leistungen!$A$141:$D$230,Leistungen!$A$61+1)))))</f>
        <v>4.3499999999999996</v>
      </c>
      <c r="O45" s="552">
        <f t="shared" ref="O45:O57" si="14">IF(K45=0,0,M45*N45%)</f>
        <v>13615.793970845754</v>
      </c>
      <c r="P45" s="1358">
        <f t="shared" si="11"/>
        <v>282000</v>
      </c>
      <c r="Q45" s="1358">
        <f t="shared" si="12"/>
        <v>265500</v>
      </c>
      <c r="R45" s="1359">
        <f>(Q45+$P$58)*N45%</f>
        <v>11549.25</v>
      </c>
      <c r="S45" s="562">
        <f>IF((Input!$K$2-1)&lt;A45,(S$4*VLOOKUP(B45,Beitrag!$B$19:$C$24,2)%)/12*H45,0)</f>
        <v>11245.5</v>
      </c>
      <c r="T45" s="215">
        <f>IF(C45&lt;2010,0,Beitrag!O73)</f>
        <v>0.01</v>
      </c>
      <c r="U45" s="549">
        <f t="shared" si="6"/>
        <v>191865.94139184448</v>
      </c>
      <c r="V45" s="549">
        <f t="shared" si="7"/>
        <v>190226.64695676998</v>
      </c>
      <c r="W45" s="562"/>
      <c r="X45" s="548"/>
      <c r="Y45" s="113"/>
      <c r="Z45" s="114">
        <f>IF((Input!$K$2-1)&lt;A45,D45*(E45+F45)%,0)</f>
        <v>18000</v>
      </c>
      <c r="AA45" s="114">
        <f t="shared" si="13"/>
        <v>18000</v>
      </c>
    </row>
    <row r="46" spans="1:27" ht="14.25" customHeight="1" x14ac:dyDescent="0.25">
      <c r="A46" s="124">
        <v>59</v>
      </c>
      <c r="B46" s="120">
        <v>5</v>
      </c>
      <c r="C46" s="123">
        <f>A46+Input!$J$10</f>
        <v>2044</v>
      </c>
      <c r="D46" s="549">
        <f>Input!$E$24</f>
        <v>100000</v>
      </c>
      <c r="E46" s="136">
        <f>VLOOKUP(VLOOKUP(A46,Input!$T$1:$U$92,2),Beitrag!$B$19:$N$23,Input!$K$25+1)</f>
        <v>18</v>
      </c>
      <c r="F46" s="136">
        <f>VLOOKUP(VLOOKUP(A46,Input!$T$1:$U$92,2),Beitrag!$B$19:$N$23,Input!$K$36+10)</f>
        <v>0</v>
      </c>
      <c r="G46" s="215">
        <f>IF(C46&lt;2010,0,VLOOKUP(C46,Beitrag!$A$73:$D$163,4))</f>
        <v>0.02</v>
      </c>
      <c r="H46" s="123">
        <f>IF(C46=YEAR(Input!$E$15),13-MONTH(Input!$E$15),12)</f>
        <v>12</v>
      </c>
      <c r="I46" s="123">
        <f>Input!$J$9</f>
        <v>1</v>
      </c>
      <c r="J46" s="123">
        <f t="shared" si="8"/>
        <v>12</v>
      </c>
      <c r="K46" s="114">
        <f>IF((Input!$K$2-1)&lt;A46,D46*(E46+F46)%,0)</f>
        <v>18000</v>
      </c>
      <c r="L46" s="549">
        <f t="shared" si="9"/>
        <v>359912.37700999307</v>
      </c>
      <c r="M46" s="552">
        <f t="shared" si="10"/>
        <v>337266.89310948667</v>
      </c>
      <c r="N46" s="137">
        <f>IF(K46=0,0,IF(Leistungen!$A$61=4,Leistungen!M37,IF(Leistungen!$A$62=2,Leistungen!AL66,VLOOKUP(Leistungen!$A$60+Renten!A46,Leistungen!$D$65:$AN$90,VLOOKUP(C46,Leistungen!$A$141:$D$230,Leistungen!$A$61+1)))))</f>
        <v>4.5</v>
      </c>
      <c r="O46" s="552">
        <f t="shared" si="14"/>
        <v>15177.010189926899</v>
      </c>
      <c r="P46" s="943">
        <f t="shared" si="11"/>
        <v>300000</v>
      </c>
      <c r="Q46" s="943">
        <f t="shared" si="12"/>
        <v>283500</v>
      </c>
      <c r="R46" s="944">
        <f t="shared" ref="R46:R57" si="15">(Q46+$P$58)*N46%</f>
        <v>12757.5</v>
      </c>
      <c r="S46" s="562">
        <f>IF((Input!$K$2-1)&lt;A46,(S$4*VLOOKUP(B46,Beitrag!$B$19:$C$24,2)%)/12*H46,0)</f>
        <v>11245.5</v>
      </c>
      <c r="T46" s="215">
        <f>IF(C46&lt;2010,0,Beitrag!O73)</f>
        <v>0.01</v>
      </c>
      <c r="U46" s="549">
        <f t="shared" si="6"/>
        <v>205030.10080576292</v>
      </c>
      <c r="V46" s="549">
        <f t="shared" si="7"/>
        <v>203271.32967633769</v>
      </c>
      <c r="W46" s="562"/>
      <c r="X46" s="548"/>
      <c r="Y46" s="113"/>
      <c r="Z46" s="114">
        <f>IF((Input!$K$2-1)&lt;A46,D46*(E46+F46)%,0)</f>
        <v>18000</v>
      </c>
      <c r="AA46" s="114">
        <f t="shared" si="13"/>
        <v>18000</v>
      </c>
    </row>
    <row r="47" spans="1:27" ht="14.25" customHeight="1" x14ac:dyDescent="0.25">
      <c r="A47" s="124">
        <v>60</v>
      </c>
      <c r="B47" s="120">
        <v>5</v>
      </c>
      <c r="C47" s="123">
        <f>A47+Input!$J$10</f>
        <v>2045</v>
      </c>
      <c r="D47" s="549">
        <f>Input!$E$24</f>
        <v>100000</v>
      </c>
      <c r="E47" s="136">
        <f>VLOOKUP(VLOOKUP(A47,Input!$T$1:$U$92,2),Beitrag!$B$19:$N$23,Input!$K$25+1)</f>
        <v>18</v>
      </c>
      <c r="F47" s="136">
        <f>VLOOKUP(VLOOKUP(A47,Input!$T$1:$U$92,2),Beitrag!$B$19:$N$23,Input!$K$36+10)</f>
        <v>0</v>
      </c>
      <c r="G47" s="215">
        <f>IF(C47&lt;2010,0,VLOOKUP(C47,Beitrag!$A$73:$D$163,4))</f>
        <v>0.02</v>
      </c>
      <c r="H47" s="123">
        <f>IF(C47=YEAR(Input!$E$15),13-MONTH(Input!$E$15),12)</f>
        <v>12</v>
      </c>
      <c r="I47" s="123">
        <f>Input!$J$9</f>
        <v>1</v>
      </c>
      <c r="J47" s="123">
        <f t="shared" si="8"/>
        <v>12</v>
      </c>
      <c r="K47" s="114">
        <f>IF((Input!$K$2-1)&lt;A47,D47*(E47+F47)%,0)</f>
        <v>18000</v>
      </c>
      <c r="L47" s="549">
        <f t="shared" si="9"/>
        <v>385110.62455019291</v>
      </c>
      <c r="M47" s="552">
        <f t="shared" si="10"/>
        <v>362012.23097167641</v>
      </c>
      <c r="N47" s="137">
        <f>IF(K47=0,0,IF(Leistungen!$A$61=4,Leistungen!M38,IF(Leistungen!$A$62=2,Leistungen!AL67,VLOOKUP(Leistungen!$A$60+Renten!A47,Leistungen!$D$65:$AN$90,VLOOKUP(C47,Leistungen!$A$141:$D$230,Leistungen!$A$61+1)))))</f>
        <v>4.6500000000000004</v>
      </c>
      <c r="O47" s="552">
        <f t="shared" si="14"/>
        <v>16833.568740182956</v>
      </c>
      <c r="P47" s="943">
        <f t="shared" si="11"/>
        <v>318000</v>
      </c>
      <c r="Q47" s="943">
        <f t="shared" si="12"/>
        <v>301500</v>
      </c>
      <c r="R47" s="944">
        <f t="shared" si="15"/>
        <v>14019.750000000002</v>
      </c>
      <c r="S47" s="562">
        <f>IF((Input!$K$2-1)&lt;A47,(S$4*VLOOKUP(B47,Beitrag!$B$19:$C$24,2)%)/12*H47,0)</f>
        <v>11245.5</v>
      </c>
      <c r="T47" s="215">
        <f>IF(C47&lt;2010,0,Beitrag!O73)</f>
        <v>0.01</v>
      </c>
      <c r="U47" s="549">
        <f t="shared" si="6"/>
        <v>218325.90181382056</v>
      </c>
      <c r="V47" s="549">
        <f t="shared" si="7"/>
        <v>216446.45922310106</v>
      </c>
      <c r="W47" s="562"/>
      <c r="X47" s="548"/>
      <c r="Y47" s="113"/>
      <c r="Z47" s="114">
        <f>IF((Input!$K$2-1)&lt;A47,D47*(E47+F47)%,0)</f>
        <v>18000</v>
      </c>
      <c r="AA47" s="114">
        <f t="shared" si="13"/>
        <v>18000</v>
      </c>
    </row>
    <row r="48" spans="1:27" ht="14.25" customHeight="1" x14ac:dyDescent="0.25">
      <c r="A48" s="124">
        <v>61</v>
      </c>
      <c r="B48" s="120">
        <v>5</v>
      </c>
      <c r="C48" s="123">
        <f>A48+Input!$J$10</f>
        <v>2046</v>
      </c>
      <c r="D48" s="549">
        <f>Input!$E$24</f>
        <v>100000</v>
      </c>
      <c r="E48" s="136">
        <f>VLOOKUP(VLOOKUP(A48,Input!$T$1:$U$92,2),Beitrag!$B$19:$N$23,Input!$K$25+1)</f>
        <v>18</v>
      </c>
      <c r="F48" s="136">
        <f>VLOOKUP(VLOOKUP(A48,Input!$T$1:$U$92,2),Beitrag!$B$19:$N$23,Input!$K$36+10)</f>
        <v>0</v>
      </c>
      <c r="G48" s="215">
        <f>IF(C48&lt;2010,0,VLOOKUP(C48,Beitrag!$A$73:$D$163,4))</f>
        <v>0.02</v>
      </c>
      <c r="H48" s="123">
        <f>IF(C48=YEAR(Input!$E$15),13-MONTH(Input!$E$15),12)</f>
        <v>12</v>
      </c>
      <c r="I48" s="123">
        <f>Input!$J$9</f>
        <v>1</v>
      </c>
      <c r="J48" s="123">
        <f t="shared" si="8"/>
        <v>12</v>
      </c>
      <c r="K48" s="114">
        <f>IF((Input!$K$2-1)&lt;A48,D48*(E48+F48)%,0)</f>
        <v>18000</v>
      </c>
      <c r="L48" s="549">
        <f t="shared" si="9"/>
        <v>410812.83704119676</v>
      </c>
      <c r="M48" s="552">
        <f t="shared" si="10"/>
        <v>387252.47559110989</v>
      </c>
      <c r="N48" s="137">
        <f>IF(K48=0,0,IF(Leistungen!$A$61=4,Leistungen!M39,IF(Leistungen!$A$62=2,Leistungen!AL68,VLOOKUP(Leistungen!$A$60+Renten!A48,Leistungen!$D$65:$AN$90,VLOOKUP(C48,Leistungen!$A$141:$D$230,Leistungen!$A$61+1)))))</f>
        <v>4.8</v>
      </c>
      <c r="O48" s="552">
        <f t="shared" si="14"/>
        <v>18588.118828373274</v>
      </c>
      <c r="P48" s="943">
        <f t="shared" si="11"/>
        <v>336000</v>
      </c>
      <c r="Q48" s="943">
        <f t="shared" si="12"/>
        <v>319500</v>
      </c>
      <c r="R48" s="944">
        <f t="shared" si="15"/>
        <v>15336</v>
      </c>
      <c r="S48" s="562">
        <f>IF((Input!$K$2-1)&lt;A48,(S$4*VLOOKUP(B48,Beitrag!$B$19:$C$24,2)%)/12*H48,0)</f>
        <v>11245.5</v>
      </c>
      <c r="T48" s="215">
        <f>IF(C48&lt;2010,0,Beitrag!O73)</f>
        <v>0.01</v>
      </c>
      <c r="U48" s="549">
        <f t="shared" si="6"/>
        <v>231754.66083195875</v>
      </c>
      <c r="V48" s="549">
        <f t="shared" si="7"/>
        <v>229753.34006533207</v>
      </c>
      <c r="W48" s="562"/>
      <c r="X48" s="548"/>
      <c r="Y48" s="113"/>
      <c r="Z48" s="114">
        <f>IF((Input!$K$2-1)&lt;A48,D48*(E48+F48)%,0)</f>
        <v>18000</v>
      </c>
      <c r="AA48" s="114">
        <f t="shared" si="13"/>
        <v>18000</v>
      </c>
    </row>
    <row r="49" spans="1:29" ht="14.25" customHeight="1" x14ac:dyDescent="0.25">
      <c r="A49" s="124">
        <v>62</v>
      </c>
      <c r="B49" s="120">
        <v>5</v>
      </c>
      <c r="C49" s="123">
        <f>A49+Input!$J$10</f>
        <v>2047</v>
      </c>
      <c r="D49" s="549">
        <f>Input!$E$24</f>
        <v>100000</v>
      </c>
      <c r="E49" s="136">
        <f>VLOOKUP(VLOOKUP(A49,Input!$T$1:$U$92,2),Beitrag!$B$19:$N$23,Input!$K$25+1)</f>
        <v>18</v>
      </c>
      <c r="F49" s="136">
        <f>VLOOKUP(VLOOKUP(A49,Input!$T$1:$U$92,2),Beitrag!$B$19:$N$23,Input!$K$36+10)</f>
        <v>0</v>
      </c>
      <c r="G49" s="215">
        <f>IF(C49&lt;2010,0,VLOOKUP(C49,Beitrag!$A$73:$D$163,4))</f>
        <v>0.02</v>
      </c>
      <c r="H49" s="123">
        <f>IF(C49=YEAR(Input!$E$15),13-MONTH(Input!$E$15),12)</f>
        <v>12</v>
      </c>
      <c r="I49" s="123">
        <f>Input!$J$9</f>
        <v>1</v>
      </c>
      <c r="J49" s="123">
        <f t="shared" si="8"/>
        <v>12</v>
      </c>
      <c r="K49" s="114">
        <f>IF((Input!$K$2-1)&lt;A49,D49*(E49+F49)%,0)</f>
        <v>18000</v>
      </c>
      <c r="L49" s="549">
        <f t="shared" si="9"/>
        <v>437029.09378202067</v>
      </c>
      <c r="M49" s="552">
        <f t="shared" si="10"/>
        <v>412997.52510293206</v>
      </c>
      <c r="N49" s="137">
        <f>IF(K49=0,0,IF(Leistungen!$A$61=4,Leistungen!M40,IF(Leistungen!$A$62=2,Leistungen!AL69,VLOOKUP(Leistungen!$A$60+Renten!A49,Leistungen!$D$65:$AN$90,VLOOKUP(C49,Leistungen!$A$141:$D$230,Leistungen!$A$61+1)))))</f>
        <v>4.95</v>
      </c>
      <c r="O49" s="552">
        <f t="shared" si="14"/>
        <v>20443.377492595137</v>
      </c>
      <c r="P49" s="943">
        <f t="shared" si="11"/>
        <v>354000</v>
      </c>
      <c r="Q49" s="943">
        <f t="shared" si="12"/>
        <v>337500</v>
      </c>
      <c r="R49" s="944">
        <f t="shared" si="15"/>
        <v>16706.25</v>
      </c>
      <c r="S49" s="562">
        <f>IF((Input!$K$2-1)&lt;A49,(S$4*VLOOKUP(B49,Beitrag!$B$19:$C$24,2)%)/12*H49,0)</f>
        <v>11245.5</v>
      </c>
      <c r="T49" s="215">
        <f>IF(C49&lt;2010,0,Beitrag!O73)</f>
        <v>0.01</v>
      </c>
      <c r="U49" s="549">
        <f t="shared" si="6"/>
        <v>245317.70744027835</v>
      </c>
      <c r="V49" s="549">
        <f t="shared" si="7"/>
        <v>243193.28971598539</v>
      </c>
      <c r="W49" s="562"/>
      <c r="X49" s="548"/>
      <c r="Y49" s="113"/>
      <c r="Z49" s="114">
        <f>IF((Input!$K$2-1)&lt;A49,D49*(E49+F49)%,0)</f>
        <v>18000</v>
      </c>
      <c r="AA49" s="114">
        <f t="shared" si="13"/>
        <v>18000</v>
      </c>
    </row>
    <row r="50" spans="1:29" ht="14.25" customHeight="1" thickBot="1" x14ac:dyDescent="0.3">
      <c r="A50" s="124">
        <v>63</v>
      </c>
      <c r="B50" s="120">
        <v>5</v>
      </c>
      <c r="C50" s="123">
        <f>A50+Input!$J$10</f>
        <v>2048</v>
      </c>
      <c r="D50" s="549">
        <f>Input!$E$24</f>
        <v>100000</v>
      </c>
      <c r="E50" s="136">
        <f>VLOOKUP(VLOOKUP(A50,Input!$T$1:$U$92,2),Beitrag!$B$19:$N$23,Input!$K$25+1)</f>
        <v>18</v>
      </c>
      <c r="F50" s="136">
        <f>VLOOKUP(VLOOKUP(A50,Input!$T$1:$U$92,2),Beitrag!$B$19:$N$23,Input!$K$36+10)</f>
        <v>0</v>
      </c>
      <c r="G50" s="215">
        <f>IF(C50&lt;2010,0,VLOOKUP(C50,Beitrag!$A$73:$D$163,4))</f>
        <v>0.02</v>
      </c>
      <c r="H50" s="123">
        <f>IF(C50=YEAR(Input!$E$15),13-MONTH(Input!$E$15),12)</f>
        <v>12</v>
      </c>
      <c r="I50" s="123">
        <f>Input!$J$9</f>
        <v>1</v>
      </c>
      <c r="J50" s="123">
        <f t="shared" si="8"/>
        <v>12</v>
      </c>
      <c r="K50" s="114">
        <f>IF((Input!$K$2-1)&lt;A50,D50*(E50+F50)%,0)</f>
        <v>18000</v>
      </c>
      <c r="L50" s="549">
        <f t="shared" si="9"/>
        <v>463769.67565766111</v>
      </c>
      <c r="M50" s="552">
        <f t="shared" si="10"/>
        <v>439257.47560499073</v>
      </c>
      <c r="N50" s="137">
        <f>IF(K50=0,0,IF(Leistungen!$A$61=4,Leistungen!M41,IF(Leistungen!$A$62=2,Leistungen!AL70,VLOOKUP(Leistungen!$A$60+Renten!A50,Leistungen!$D$65:$AN$90,VLOOKUP(C50,Leistungen!$A$141:$D$230,Leistungen!$A$61+1)))))</f>
        <v>5.0999999999999996</v>
      </c>
      <c r="O50" s="552">
        <f t="shared" si="14"/>
        <v>22402.131255854525</v>
      </c>
      <c r="P50" s="943">
        <f t="shared" si="11"/>
        <v>372000</v>
      </c>
      <c r="Q50" s="943">
        <f t="shared" si="12"/>
        <v>355500</v>
      </c>
      <c r="R50" s="944">
        <f t="shared" si="15"/>
        <v>18130.5</v>
      </c>
      <c r="S50" s="562">
        <f>IF((Input!$K$2-1)&lt;A50,(S$4*VLOOKUP(B50,Beitrag!$B$19:$C$24,2)%)/12*H50,0)</f>
        <v>11245.5</v>
      </c>
      <c r="T50" s="215">
        <f>IF(C50&lt;2010,0,Beitrag!O73)</f>
        <v>0.01</v>
      </c>
      <c r="U50" s="549">
        <f t="shared" si="6"/>
        <v>259016.38451468112</v>
      </c>
      <c r="V50" s="549">
        <f t="shared" si="7"/>
        <v>256767.63886314526</v>
      </c>
      <c r="W50" s="562"/>
      <c r="X50" s="548"/>
      <c r="Y50" s="113"/>
      <c r="Z50" s="661">
        <f>IF((Input!$K$2-1)&lt;A50,D50*(E50+F50)%,0)</f>
        <v>18000</v>
      </c>
      <c r="AA50" s="114">
        <f t="shared" si="13"/>
        <v>18000</v>
      </c>
    </row>
    <row r="51" spans="1:29" ht="14.25" customHeight="1" thickBot="1" x14ac:dyDescent="0.3">
      <c r="A51" s="124">
        <v>64</v>
      </c>
      <c r="B51" s="120">
        <v>5</v>
      </c>
      <c r="C51" s="123">
        <f>A51+Input!$J$10</f>
        <v>2049</v>
      </c>
      <c r="D51" s="549">
        <f>Input!$E$24</f>
        <v>100000</v>
      </c>
      <c r="E51" s="136">
        <f>VLOOKUP(VLOOKUP(A51,Input!$T$1:$U$92,2),Beitrag!$B$19:$N$23,Input!$K$25+1)</f>
        <v>18</v>
      </c>
      <c r="F51" s="136">
        <f>VLOOKUP(VLOOKUP(A51,Input!$T$1:$U$92,2),Beitrag!$B$19:$N$23,Input!$K$36+10)</f>
        <v>0</v>
      </c>
      <c r="G51" s="215">
        <f>IF(C51&lt;2010,0,VLOOKUP(C51,Beitrag!$A$73:$D$163,4))</f>
        <v>0.02</v>
      </c>
      <c r="H51" s="123">
        <f>IF(C51=YEAR(Input!$E$15),13-MONTH(Input!$E$15),12)</f>
        <v>12</v>
      </c>
      <c r="I51" s="123">
        <f>Input!$J$9</f>
        <v>1</v>
      </c>
      <c r="J51" s="123">
        <f t="shared" si="8"/>
        <v>12</v>
      </c>
      <c r="K51" s="114">
        <f>IF((Input!$K$2-1)&lt;A51,D51*(E51+F51)%,0)</f>
        <v>18000</v>
      </c>
      <c r="L51" s="549">
        <f t="shared" si="9"/>
        <v>491045.06917081436</v>
      </c>
      <c r="M51" s="552">
        <f t="shared" si="10"/>
        <v>466042.62511709053</v>
      </c>
      <c r="N51" s="137">
        <f>IF(K51=0,0,IF(Leistungen!$A$61=4,Leistungen!M42,IF(Leistungen!$A$62=2,Leistungen!AL71,VLOOKUP(Leistungen!$A$60+Renten!A51,Leistungen!$D$65:$AN$90,VLOOKUP(C51,Leistungen!$A$141:$D$230,Leistungen!$A$61+1)))))</f>
        <v>5.25</v>
      </c>
      <c r="O51" s="552">
        <f t="shared" si="14"/>
        <v>24467.237818647252</v>
      </c>
      <c r="P51" s="943">
        <f t="shared" si="11"/>
        <v>390000</v>
      </c>
      <c r="Q51" s="943">
        <f t="shared" si="12"/>
        <v>373500</v>
      </c>
      <c r="R51" s="944">
        <f t="shared" si="15"/>
        <v>19608.75</v>
      </c>
      <c r="S51" s="563">
        <f>IF($Q$71=65,$Y$79*$S$4,VLOOKUP(Q71,Renten!Q61:S65,2))</f>
        <v>11245.5</v>
      </c>
      <c r="T51" s="215">
        <f>IF(C51&lt;2010,0,Beitrag!O73)</f>
        <v>0.01</v>
      </c>
      <c r="U51" s="549">
        <f t="shared" si="6"/>
        <v>272852.04835982795</v>
      </c>
      <c r="V51" s="569">
        <f t="shared" si="7"/>
        <v>270477.73150177673</v>
      </c>
      <c r="W51" s="569">
        <f>IF(Input!$J$10&gt;1948,VLOOKUP(Input!$K$3*100+A51,Leistungen!$C$6:$S$31,17),VLOOKUP(Input!$K$3*100+A51,Leistungen!$C$6:$S$31,Input!$J$10-1932))</f>
        <v>6.8</v>
      </c>
      <c r="X51" s="572">
        <f t="shared" ref="X51:X57" si="16">IF(K51=0,0,V51*W51%)</f>
        <v>18392.485742120818</v>
      </c>
      <c r="Y51" s="139">
        <f t="shared" ref="Y51:Y57" si="17">IF(X51&gt;O51,1,0)</f>
        <v>0</v>
      </c>
      <c r="Z51" s="663">
        <f>IF((Input!$K$2-1)&lt;A51,D51*(E51+F51)%,0)</f>
        <v>18000</v>
      </c>
      <c r="AA51" s="663">
        <f>IF(Input!K3=1,Z51,Z51/12*I51)</f>
        <v>1500</v>
      </c>
    </row>
    <row r="52" spans="1:29" ht="14.25" customHeight="1" thickBot="1" x14ac:dyDescent="0.3">
      <c r="A52" s="124">
        <v>65</v>
      </c>
      <c r="B52" s="120">
        <f>IF($Q$71=65,5,6)</f>
        <v>5</v>
      </c>
      <c r="C52" s="123">
        <f>A52+Input!$J$10</f>
        <v>2050</v>
      </c>
      <c r="D52" s="549">
        <f>Input!$E$24</f>
        <v>100000</v>
      </c>
      <c r="E52" s="136">
        <f>VLOOKUP(VLOOKUP(A52,Input!$T$1:$U$92,2),Beitrag!$B$19:$N$23,Input!$K$25+1)</f>
        <v>18</v>
      </c>
      <c r="F52" s="136">
        <f>VLOOKUP(VLOOKUP(A52,Input!$T$1:$U$92,2),Beitrag!$B$19:$N$23,Input!$K$36+10)</f>
        <v>0</v>
      </c>
      <c r="G52" s="215">
        <f>IF(C52&lt;2010,0,VLOOKUP(C52,Beitrag!$A$73:$D$163,4))</f>
        <v>0.02</v>
      </c>
      <c r="H52" s="123">
        <f>IF(C52=YEAR(Input!$E$15),13-MONTH(Input!$E$15),12)</f>
        <v>12</v>
      </c>
      <c r="I52" s="123">
        <f>Input!$J$9</f>
        <v>1</v>
      </c>
      <c r="J52" s="123">
        <f t="shared" si="8"/>
        <v>12</v>
      </c>
      <c r="K52" s="114">
        <f>IF((Input!$K$2-1)&lt;A52,D52*(E52+F52)%,0)</f>
        <v>18000</v>
      </c>
      <c r="L52" s="549">
        <f t="shared" si="9"/>
        <v>518865.97055423062</v>
      </c>
      <c r="M52" s="552">
        <f t="shared" si="10"/>
        <v>493363.47761943238</v>
      </c>
      <c r="N52" s="137">
        <f>IF(K52=0,0,IF(Leistungen!$A$61=4,Leistungen!M43,IF(Leistungen!$A$62=2,Leistungen!AL72,VLOOKUP(Leistungen!$A$60+Renten!A52,Leistungen!$D$65:$AN$90,VLOOKUP(C52,Leistungen!$A$141:$D$230,Leistungen!$A$61+1)))))</f>
        <v>5.4</v>
      </c>
      <c r="O52" s="552">
        <f t="shared" si="14"/>
        <v>26641.627791449351</v>
      </c>
      <c r="P52" s="943">
        <f t="shared" si="11"/>
        <v>408000</v>
      </c>
      <c r="Q52" s="943">
        <f t="shared" si="12"/>
        <v>391500</v>
      </c>
      <c r="R52" s="944">
        <f t="shared" si="15"/>
        <v>21141.000000000004</v>
      </c>
      <c r="S52" s="563">
        <f>VLOOKUP(Q71,Renten!Q61:S65,3)</f>
        <v>937.125</v>
      </c>
      <c r="T52" s="215">
        <f>IF(C52&lt;2010,0,Beitrag!O73)</f>
        <v>0.01</v>
      </c>
      <c r="U52" s="549">
        <f t="shared" si="6"/>
        <v>276517.69384342624</v>
      </c>
      <c r="V52" s="569">
        <f>IF(Q71=64,Renten!V51,IF(S52=0,U51,IF(H52&lt;&gt;12,U51+U51*T52/12*J52+S52,U51+U51*T52/12*I52+S52)))</f>
        <v>274016.5500667945</v>
      </c>
      <c r="W52" s="569">
        <f>IF(Input!$J$10&gt;1948,VLOOKUP(Input!$K$3*100+A52,Leistungen!$C$6:$S$31,17),VLOOKUP(Input!$K$3*100+A52,Leistungen!$C$6:$S$31,Input!$J$10-1932))</f>
        <v>6.8</v>
      </c>
      <c r="X52" s="572">
        <f t="shared" si="16"/>
        <v>18633.125404542028</v>
      </c>
      <c r="Y52" s="139">
        <f t="shared" si="17"/>
        <v>0</v>
      </c>
      <c r="Z52" s="662">
        <f>IF((Input!$K$2-1)&lt;A52,D52*(E52+F52)%,0)</f>
        <v>18000</v>
      </c>
      <c r="AA52" s="662">
        <f>IF(Input!K3=1,Z52/12*I52,0)</f>
        <v>0</v>
      </c>
    </row>
    <row r="53" spans="1:29" ht="14.25" customHeight="1" x14ac:dyDescent="0.25">
      <c r="A53" s="124">
        <v>66</v>
      </c>
      <c r="B53" s="120">
        <v>6</v>
      </c>
      <c r="C53" s="123">
        <f>A53+Input!$J$10</f>
        <v>2051</v>
      </c>
      <c r="D53" s="549">
        <f>Input!$E$24</f>
        <v>100000</v>
      </c>
      <c r="E53" s="136">
        <f>VLOOKUP(VLOOKUP(A53,Input!$T$1:$U$92,2),Beitrag!$B$19:$N$23,Input!$K$25+1)</f>
        <v>18</v>
      </c>
      <c r="F53" s="136">
        <f>VLOOKUP(VLOOKUP(A53,Input!$T$1:$U$92,2),Beitrag!$B$19:$N$23,Input!$K$36+10)</f>
        <v>0</v>
      </c>
      <c r="G53" s="215">
        <f>IF(C53&lt;2010,0,VLOOKUP(C53,Beitrag!$A$73:$D$163,4))</f>
        <v>0.02</v>
      </c>
      <c r="H53" s="123">
        <f>IF(C53=YEAR(Input!$E$15),13-MONTH(Input!$E$15),12)</f>
        <v>12</v>
      </c>
      <c r="I53" s="123">
        <f>Input!$J$9</f>
        <v>1</v>
      </c>
      <c r="J53" s="123">
        <f t="shared" si="8"/>
        <v>12</v>
      </c>
      <c r="K53" s="114">
        <f>IF((Input!$K$2-1)&lt;A53,D53*(E53+F53)%,0)</f>
        <v>18000</v>
      </c>
      <c r="L53" s="549">
        <f t="shared" si="9"/>
        <v>547243.28996531526</v>
      </c>
      <c r="M53" s="552">
        <f t="shared" si="10"/>
        <v>521230.74717182101</v>
      </c>
      <c r="N53" s="137">
        <f>IF(K53=0,0,IF(Leistungen!$A$61=4,Leistungen!M44,IF(Leistungen!$A$62=2,Leistungen!AL73,VLOOKUP(Leistungen!$A$60+Renten!A53,Leistungen!$D$65:$AN$90,VLOOKUP(C53,Leistungen!$A$141:$D$230,Leistungen!$A$61+1)))))</f>
        <v>5.55</v>
      </c>
      <c r="O53" s="552">
        <f t="shared" si="14"/>
        <v>28928.306468036066</v>
      </c>
      <c r="P53" s="943">
        <f t="shared" si="11"/>
        <v>426000</v>
      </c>
      <c r="Q53" s="943">
        <f t="shared" si="12"/>
        <v>409500</v>
      </c>
      <c r="R53" s="944">
        <f t="shared" si="15"/>
        <v>22727.25</v>
      </c>
      <c r="S53" s="548"/>
      <c r="T53" s="215">
        <f>IF(C53&lt;2010,0,Beitrag!O73)</f>
        <v>0.01</v>
      </c>
      <c r="U53" s="549">
        <f t="shared" si="6"/>
        <v>276517.69384342624</v>
      </c>
      <c r="V53" s="569">
        <f>V52</f>
        <v>274016.5500667945</v>
      </c>
      <c r="W53" s="569">
        <f>IF(Input!$J$10&gt;1948,VLOOKUP(Input!$K$3*100+A53,Leistungen!$C$6:$S$31,17),VLOOKUP(Input!$K$3*100+A53,Leistungen!$C$6:$S$31,Input!$J$10-1932))</f>
        <v>6.8</v>
      </c>
      <c r="X53" s="572">
        <f t="shared" si="16"/>
        <v>18633.125404542028</v>
      </c>
      <c r="Y53" s="139">
        <f t="shared" si="17"/>
        <v>0</v>
      </c>
      <c r="Z53" s="660"/>
      <c r="AA53" s="660"/>
    </row>
    <row r="54" spans="1:29" ht="14.25" customHeight="1" x14ac:dyDescent="0.25">
      <c r="A54" s="124">
        <v>67</v>
      </c>
      <c r="B54" s="120">
        <v>6</v>
      </c>
      <c r="C54" s="123">
        <f>A54+Input!$J$10</f>
        <v>2052</v>
      </c>
      <c r="D54" s="549">
        <f>Input!$E$24</f>
        <v>100000</v>
      </c>
      <c r="E54" s="136">
        <f>VLOOKUP(VLOOKUP(A54,Input!$T$1:$U$92,2),Beitrag!$B$19:$N$23,Input!$K$25+1)</f>
        <v>18</v>
      </c>
      <c r="F54" s="136">
        <f>VLOOKUP(VLOOKUP(A54,Input!$T$1:$U$92,2),Beitrag!$B$19:$N$23,Input!$K$36+10)</f>
        <v>0</v>
      </c>
      <c r="G54" s="215">
        <f>IF(C54&lt;2010,0,VLOOKUP(C54,Beitrag!$A$73:$D$163,4))</f>
        <v>0.02</v>
      </c>
      <c r="H54" s="123">
        <f>IF(C54=YEAR(Input!$E$15),13-MONTH(Input!$E$15),12)</f>
        <v>12</v>
      </c>
      <c r="I54" s="123">
        <f>Input!$J$9</f>
        <v>1</v>
      </c>
      <c r="J54" s="123">
        <f t="shared" si="8"/>
        <v>12</v>
      </c>
      <c r="K54" s="114">
        <f>IF((Input!$K$2-1)&lt;A54,D54*(E54+F54)%,0)</f>
        <v>18000</v>
      </c>
      <c r="L54" s="549">
        <f t="shared" si="9"/>
        <v>576188.15576462157</v>
      </c>
      <c r="M54" s="552">
        <f t="shared" si="10"/>
        <v>549655.36211525742</v>
      </c>
      <c r="N54" s="137">
        <f>IF(K54=0,0,IF(Leistungen!$A$61=4,Leistungen!M45,IF(Leistungen!$A$62=2,Leistungen!AL74,VLOOKUP(Leistungen!$A$60+Renten!A54,Leistungen!$D$65:$AN$90,VLOOKUP(C54,Leistungen!$A$141:$D$230,Leistungen!$A$61+1)))))</f>
        <v>5.7</v>
      </c>
      <c r="O54" s="552">
        <f t="shared" si="14"/>
        <v>31330.355640569673</v>
      </c>
      <c r="P54" s="943">
        <f t="shared" si="11"/>
        <v>444000</v>
      </c>
      <c r="Q54" s="943">
        <f t="shared" si="12"/>
        <v>427500</v>
      </c>
      <c r="R54" s="944">
        <f t="shared" si="15"/>
        <v>24367.5</v>
      </c>
      <c r="S54" s="548"/>
      <c r="T54" s="215">
        <f>IF(C54&lt;2010,0,Beitrag!O73)</f>
        <v>0.01</v>
      </c>
      <c r="U54" s="549">
        <f t="shared" si="6"/>
        <v>276517.69384342624</v>
      </c>
      <c r="V54" s="569">
        <f>V52</f>
        <v>274016.5500667945</v>
      </c>
      <c r="W54" s="569">
        <f>IF(Input!$J$10&gt;1948,VLOOKUP(Input!$K$3*100+A54,Leistungen!$C$6:$S$31,17),VLOOKUP(Input!$K$3*100+A54,Leistungen!$C$6:$S$31,Input!$J$10-1932))</f>
        <v>6.8</v>
      </c>
      <c r="X54" s="572">
        <f t="shared" si="16"/>
        <v>18633.125404542028</v>
      </c>
      <c r="Y54" s="139">
        <f t="shared" si="17"/>
        <v>0</v>
      </c>
      <c r="Z54" s="114"/>
      <c r="AA54" s="114"/>
    </row>
    <row r="55" spans="1:29" ht="14.25" customHeight="1" x14ac:dyDescent="0.25">
      <c r="A55" s="124">
        <v>68</v>
      </c>
      <c r="B55" s="120">
        <v>6</v>
      </c>
      <c r="C55" s="123">
        <f>A55+Input!$J$10</f>
        <v>2053</v>
      </c>
      <c r="D55" s="549">
        <f>Input!$E$24</f>
        <v>100000</v>
      </c>
      <c r="E55" s="136">
        <f>VLOOKUP(VLOOKUP(A55,Input!$T$1:$U$92,2),Beitrag!$B$19:$N$23,Input!$K$25+1)</f>
        <v>18</v>
      </c>
      <c r="F55" s="136">
        <f>VLOOKUP(VLOOKUP(A55,Input!$T$1:$U$92,2),Beitrag!$B$19:$N$23,Input!$K$36+10)</f>
        <v>0</v>
      </c>
      <c r="G55" s="215">
        <f>IF(C55&lt;2010,0,VLOOKUP(C55,Beitrag!$A$73:$D$163,4))</f>
        <v>0.02</v>
      </c>
      <c r="H55" s="123">
        <f>IF(C55=YEAR(Input!$E$15),13-MONTH(Input!$E$15),12)</f>
        <v>12</v>
      </c>
      <c r="I55" s="123">
        <f>Input!$J$9</f>
        <v>1</v>
      </c>
      <c r="J55" s="123">
        <f t="shared" si="8"/>
        <v>12</v>
      </c>
      <c r="K55" s="114">
        <f>IF((Input!$K$2-1)&lt;A55,D55*(E55+F55)%,0)</f>
        <v>18000</v>
      </c>
      <c r="L55" s="549">
        <f t="shared" si="9"/>
        <v>605711.91887991398</v>
      </c>
      <c r="M55" s="552">
        <f t="shared" si="10"/>
        <v>578648.4693575626</v>
      </c>
      <c r="N55" s="137">
        <f>IF(K55=0,0,IF(Leistungen!$A$61=4,Leistungen!M46,IF(Leistungen!$A$62=2,Leistungen!AL75,VLOOKUP(Leistungen!$A$60+Renten!A55,Leistungen!$D$65:$AN$90,VLOOKUP(C55,Leistungen!$A$141:$D$230,Leistungen!$A$61+1)))))</f>
        <v>5.85</v>
      </c>
      <c r="O55" s="552">
        <f t="shared" si="14"/>
        <v>33850.935457417407</v>
      </c>
      <c r="P55" s="943">
        <f t="shared" si="11"/>
        <v>462000</v>
      </c>
      <c r="Q55" s="943">
        <f t="shared" si="12"/>
        <v>445500</v>
      </c>
      <c r="R55" s="944">
        <f t="shared" si="15"/>
        <v>26061.75</v>
      </c>
      <c r="S55" s="548"/>
      <c r="T55" s="215">
        <f>IF(C55&lt;2010,0,Beitrag!O73)</f>
        <v>0.01</v>
      </c>
      <c r="U55" s="549">
        <f t="shared" si="6"/>
        <v>276517.69384342624</v>
      </c>
      <c r="V55" s="569">
        <f>V52</f>
        <v>274016.5500667945</v>
      </c>
      <c r="W55" s="569">
        <f>IF(Input!$J$10&gt;1948,VLOOKUP(Input!$K$3*100+A55,Leistungen!$C$6:$S$31,17),VLOOKUP(Input!$K$3*100+A55,Leistungen!$C$6:$S$31,Input!$J$10-1932))</f>
        <v>6.8</v>
      </c>
      <c r="X55" s="572">
        <f t="shared" si="16"/>
        <v>18633.125404542028</v>
      </c>
      <c r="Y55" s="139">
        <f t="shared" si="17"/>
        <v>0</v>
      </c>
      <c r="Z55" s="114"/>
      <c r="AA55" s="114"/>
    </row>
    <row r="56" spans="1:29" ht="14.25" customHeight="1" x14ac:dyDescent="0.25">
      <c r="A56" s="124">
        <v>69</v>
      </c>
      <c r="B56" s="120">
        <v>6</v>
      </c>
      <c r="C56" s="123">
        <f>A56+Input!$J$10</f>
        <v>2054</v>
      </c>
      <c r="D56" s="549">
        <f>Input!$E$24</f>
        <v>100000</v>
      </c>
      <c r="E56" s="136">
        <f>VLOOKUP(VLOOKUP(A56,Input!$T$1:$U$92,2),Beitrag!$B$19:$N$23,Input!$K$25+1)</f>
        <v>18</v>
      </c>
      <c r="F56" s="136">
        <f>VLOOKUP(VLOOKUP(A56,Input!$T$1:$U$92,2),Beitrag!$B$19:$N$23,Input!$K$36+10)</f>
        <v>0</v>
      </c>
      <c r="G56" s="215">
        <f>IF(C56&lt;2010,0,VLOOKUP(C56,Beitrag!$A$73:$D$163,4))</f>
        <v>0.02</v>
      </c>
      <c r="H56" s="123">
        <f>IF(C56=YEAR(Input!$E$15),13-MONTH(Input!$E$15),12)</f>
        <v>12</v>
      </c>
      <c r="I56" s="123">
        <f>Input!$J$9</f>
        <v>1</v>
      </c>
      <c r="J56" s="123">
        <f t="shared" si="8"/>
        <v>12</v>
      </c>
      <c r="K56" s="114">
        <f>IF((Input!$K$2-1)&lt;A56,D56*(E56+F56)%,0)</f>
        <v>18000</v>
      </c>
      <c r="L56" s="549">
        <f t="shared" si="9"/>
        <v>635826.15725751221</v>
      </c>
      <c r="M56" s="552">
        <f t="shared" si="10"/>
        <v>608221.43874471379</v>
      </c>
      <c r="N56" s="137">
        <f>IF(K56=0,0,IF(Leistungen!$A$61=4,Leistungen!M47,IF(Leistungen!$A$62=2,Leistungen!AL76,VLOOKUP(Leistungen!$A$60+Renten!A56,Leistungen!$D$65:$AN$90,VLOOKUP(C56,Leistungen!$A$141:$D$230,Leistungen!$A$61+1)))))</f>
        <v>6</v>
      </c>
      <c r="O56" s="552">
        <f t="shared" si="14"/>
        <v>36493.286324682827</v>
      </c>
      <c r="P56" s="943">
        <f t="shared" si="11"/>
        <v>480000</v>
      </c>
      <c r="Q56" s="943">
        <f t="shared" si="12"/>
        <v>463500</v>
      </c>
      <c r="R56" s="944">
        <f t="shared" si="15"/>
        <v>27810</v>
      </c>
      <c r="S56" s="548"/>
      <c r="T56" s="215">
        <f>IF(C56&lt;2010,0,Beitrag!O73)</f>
        <v>0.01</v>
      </c>
      <c r="U56" s="549">
        <f t="shared" si="6"/>
        <v>276517.69384342624</v>
      </c>
      <c r="V56" s="569">
        <f>V52</f>
        <v>274016.5500667945</v>
      </c>
      <c r="W56" s="569">
        <f>IF(Input!$J$10&gt;1948,VLOOKUP(Input!$K$3*100+A56,Leistungen!$C$6:$S$31,17),VLOOKUP(Input!$K$3*100+A56,Leistungen!$C$6:$S$31,Input!$J$10-1932))</f>
        <v>6.8</v>
      </c>
      <c r="X56" s="572">
        <f t="shared" si="16"/>
        <v>18633.125404542028</v>
      </c>
      <c r="Y56" s="139">
        <f t="shared" si="17"/>
        <v>0</v>
      </c>
      <c r="Z56" s="114"/>
      <c r="AA56" s="114"/>
    </row>
    <row r="57" spans="1:29" ht="14.25" customHeight="1" x14ac:dyDescent="0.25">
      <c r="A57" s="124">
        <v>70</v>
      </c>
      <c r="B57" s="120">
        <v>6</v>
      </c>
      <c r="C57" s="123">
        <f>A57+Input!$J$10</f>
        <v>2055</v>
      </c>
      <c r="D57" s="549">
        <f>Input!$E$24</f>
        <v>100000</v>
      </c>
      <c r="E57" s="136">
        <f>VLOOKUP(VLOOKUP(A57,Input!$T$1:$U$92,2),Beitrag!$B$19:$N$23,Input!$K$25+1)</f>
        <v>18</v>
      </c>
      <c r="F57" s="136">
        <f>VLOOKUP(VLOOKUP(A57,Input!$T$1:$U$92,2),Beitrag!$B$19:$N$23,Input!$K$36+10)</f>
        <v>0</v>
      </c>
      <c r="G57" s="215">
        <f>IF(C57&lt;2010,0,VLOOKUP(C57,Beitrag!$A$73:$D$163,4))</f>
        <v>0.02</v>
      </c>
      <c r="H57" s="123">
        <f>IF(C57=YEAR(Input!$E$15),13-MONTH(Input!$E$15),12)</f>
        <v>12</v>
      </c>
      <c r="I57" s="123">
        <f>Input!$J$9</f>
        <v>1</v>
      </c>
      <c r="J57" s="123">
        <f>IF(H57=12,12,IF((I57+H57-12)&lt;1,0,I57+H57-12))</f>
        <v>12</v>
      </c>
      <c r="K57" s="114">
        <f>IF((Input!$K$2-1)&lt;A57,D57*(E57+F57)%,0)</f>
        <v>18000</v>
      </c>
      <c r="L57" s="549">
        <f>IF(K57=0,L56,L56+L56*G57/12*H57+K57/12*H57)</f>
        <v>666542.68040266249</v>
      </c>
      <c r="M57" s="552">
        <f>IF(K57=0,L56,IF(H57&lt;&gt;12,L56+L56*G57/12*J57+K57/12*J57,L56+L56*G57/12*I57+K57/12*I57))</f>
        <v>638385.86751960812</v>
      </c>
      <c r="N57" s="137">
        <f>IF(K57=0,0,IF(Leistungen!$A$61=4,Leistungen!M48,IF(Leistungen!$A$62=2,Leistungen!AL77,VLOOKUP(Leistungen!$A$60+Renten!A57,Leistungen!$D$65:$AN$90,VLOOKUP(C57,Leistungen!$A$141:$D$230,Leistungen!$A$61+1)))))</f>
        <v>6.15</v>
      </c>
      <c r="O57" s="552">
        <f t="shared" si="14"/>
        <v>39260.730852455905</v>
      </c>
      <c r="P57" s="943">
        <f>IF(K57=0,P56,P56+K57/12*H57)</f>
        <v>498000</v>
      </c>
      <c r="Q57" s="943">
        <f>IF(K57=0,P56,IF(H57&lt;&gt;12,P56+K57/12*J57,P56+K57/12*I57))</f>
        <v>481500</v>
      </c>
      <c r="R57" s="944">
        <f t="shared" si="15"/>
        <v>29612.250000000004</v>
      </c>
      <c r="S57" s="548"/>
      <c r="T57" s="215">
        <f>IF(C57&lt;2010,0,Beitrag!O73)</f>
        <v>0.01</v>
      </c>
      <c r="U57" s="549">
        <f t="shared" si="6"/>
        <v>276517.69384342624</v>
      </c>
      <c r="V57" s="569">
        <f>V52</f>
        <v>274016.5500667945</v>
      </c>
      <c r="W57" s="569">
        <f>IF(Input!$J$10&gt;1948,VLOOKUP(Input!$K$3*100+A57,Leistungen!$C$6:$S$31,17),VLOOKUP(Input!$K$3*100+A57,Leistungen!$C$6:$S$31,Input!$J$10-1932))</f>
        <v>6.8</v>
      </c>
      <c r="X57" s="572">
        <f t="shared" si="16"/>
        <v>18633.125404542028</v>
      </c>
      <c r="Y57" s="139">
        <f t="shared" si="17"/>
        <v>0</v>
      </c>
      <c r="Z57" s="114"/>
      <c r="AA57" s="114"/>
    </row>
    <row r="58" spans="1:29" x14ac:dyDescent="0.25">
      <c r="K58" s="657"/>
      <c r="L58" s="974" t="s">
        <v>2172</v>
      </c>
      <c r="M58" s="1130">
        <f>IF(Input!G53="",Input!F53,Input!G53)</f>
        <v>0.02</v>
      </c>
      <c r="N58" s="975"/>
      <c r="O58" s="974" t="s">
        <v>2173</v>
      </c>
      <c r="P58" s="974">
        <f>Input!E51*M58/12*(13-MONTH(Input!E15))</f>
        <v>0</v>
      </c>
      <c r="R58" s="545"/>
      <c r="S58" s="548">
        <f>SUM(S12:S57)</f>
        <v>244589.625</v>
      </c>
      <c r="T58" s="564"/>
      <c r="U58" s="564"/>
      <c r="V58" s="564"/>
      <c r="W58" s="564"/>
      <c r="X58" s="125"/>
      <c r="Y58" s="113">
        <f>SUM(Y45:Y57)</f>
        <v>0</v>
      </c>
      <c r="Z58" s="659"/>
      <c r="AA58" s="114">
        <f>SUM(AA12:AA52)</f>
        <v>373500</v>
      </c>
      <c r="AC58" s="1357"/>
    </row>
    <row r="60" spans="1:29" x14ac:dyDescent="0.25">
      <c r="L60" s="553"/>
      <c r="P60" s="555"/>
      <c r="Q60" s="558"/>
      <c r="R60" s="1349" t="s">
        <v>3965</v>
      </c>
      <c r="S60" s="1350" t="s">
        <v>3966</v>
      </c>
      <c r="T60" s="570" t="s">
        <v>1399</v>
      </c>
      <c r="U60" s="571" t="s">
        <v>1399</v>
      </c>
      <c r="V60" s="559"/>
      <c r="W60" s="564"/>
      <c r="X60" s="564"/>
      <c r="Y60" s="564"/>
    </row>
    <row r="61" spans="1:29" x14ac:dyDescent="0.25">
      <c r="L61" s="553"/>
      <c r="P61" s="557"/>
      <c r="Q61" s="560">
        <v>64</v>
      </c>
      <c r="R61" s="565">
        <f>IF((Input!$K$2-1)&gt;=A51,0,IF(H51&lt;&gt;12,S$4*VLOOKUP(B51,Beitrag!$B$19:$C$24,2)%/12*J51,S$4*VLOOKUP(B51,Beitrag!$B$19:$C$24,2)%/12*I51))</f>
        <v>937.125</v>
      </c>
      <c r="S61" s="568">
        <v>0</v>
      </c>
      <c r="T61" s="315">
        <f>VLOOKUP(Q71,S75:Z79,8)</f>
        <v>274016.5500667945</v>
      </c>
      <c r="U61" s="315">
        <f>IF(Input!K3=1,W52,W51)</f>
        <v>6.8</v>
      </c>
      <c r="V61" s="559"/>
      <c r="W61" s="564"/>
      <c r="X61" s="564"/>
      <c r="Y61" s="564"/>
    </row>
    <row r="62" spans="1:29" x14ac:dyDescent="0.25">
      <c r="L62" s="553"/>
      <c r="P62" s="556"/>
      <c r="Q62" s="559">
        <v>64.25</v>
      </c>
      <c r="R62" s="565">
        <f>IF((Input!$K$2-1)&gt;=A51,0,IF(H51&lt;&gt;12,S$4*VLOOKUP(B51,Beitrag!$B$19:$C$24,2)%/12*J51+AF76,S$4*VLOOKUP(B51,Beitrag!$B$19:$C$24,2)%/12*I51)+AF76)</f>
        <v>3748.5</v>
      </c>
      <c r="S62" s="567"/>
      <c r="T62" s="1348"/>
      <c r="U62" s="1348"/>
      <c r="V62" s="559"/>
      <c r="W62" s="564"/>
      <c r="X62" s="564"/>
      <c r="Y62" s="564"/>
    </row>
    <row r="63" spans="1:29" x14ac:dyDescent="0.25">
      <c r="L63" s="553"/>
      <c r="P63" s="556"/>
      <c r="Q63" s="559">
        <v>64.5</v>
      </c>
      <c r="R63" s="565">
        <f>IF((Input!$K$2-1)&gt;=A51,0,IF(H51&lt;&gt;12,S$4*VLOOKUP(B51,Beitrag!$B$19:$C$24,2)%/12*J51+AF77,S$4*VLOOKUP(B51,Beitrag!$B$19:$C$24,2)%/12*I51)+AF77)</f>
        <v>6559.875</v>
      </c>
      <c r="S63" s="567"/>
      <c r="T63" s="1348"/>
      <c r="U63" s="1348"/>
      <c r="V63" s="559"/>
      <c r="W63" s="564"/>
      <c r="X63" s="564"/>
      <c r="Y63" s="564"/>
    </row>
    <row r="64" spans="1:29" x14ac:dyDescent="0.25">
      <c r="L64" s="553"/>
      <c r="P64" s="556"/>
      <c r="Q64" s="559">
        <v>64.75</v>
      </c>
      <c r="R64" s="565">
        <f>IF((Input!$K$2-1)&gt;=A51,0,IF(H51&lt;&gt;12,S$4*VLOOKUP(B51,Beitrag!$B$19:$C$24,2)%/12*J51+AF78,S$4*VLOOKUP(B51,Beitrag!$B$19:$C$24,2)%/12*I51)+AF78)</f>
        <v>9371.25</v>
      </c>
      <c r="S64" s="567"/>
      <c r="T64" s="1348"/>
      <c r="U64" s="1348"/>
      <c r="V64" s="559"/>
      <c r="W64" s="564"/>
      <c r="X64" s="564"/>
      <c r="Y64" s="564"/>
    </row>
    <row r="65" spans="12:32" x14ac:dyDescent="0.25">
      <c r="L65" s="553"/>
      <c r="P65" s="556"/>
      <c r="Q65" s="559">
        <v>65</v>
      </c>
      <c r="R65" s="564">
        <f>IF((Input!$K$2-1)&lt;A51,(S$4*VLOOKUP(B51,Beitrag!$B$19:$C$24,2)%)/12*H51,0)</f>
        <v>11245.5</v>
      </c>
      <c r="S65" s="567">
        <f>IF((Input!$K$2-1)&gt;=A52,0,IF(H52&lt;&gt;12,$S$4*VLOOKUP(B52,Beitrag!$B$19:$C$24,2)%/12*J52,$S$4*VLOOKUP(B52,Beitrag!$B$19:$C$24,2)%/12*I52))</f>
        <v>937.125</v>
      </c>
      <c r="T65" s="1348"/>
      <c r="U65" s="1348"/>
      <c r="V65" s="559"/>
      <c r="W65" s="564"/>
      <c r="X65" s="564"/>
      <c r="Y65" s="564"/>
    </row>
    <row r="66" spans="12:32" x14ac:dyDescent="0.25">
      <c r="P66" s="45"/>
      <c r="Q66" s="45"/>
      <c r="R66" s="45"/>
      <c r="S66" s="45"/>
      <c r="V66" s="559"/>
      <c r="W66" s="564"/>
      <c r="X66" s="564"/>
      <c r="Y66" s="564"/>
    </row>
    <row r="69" spans="12:32" x14ac:dyDescent="0.25">
      <c r="P69" s="1345" t="s">
        <v>3956</v>
      </c>
    </row>
    <row r="70" spans="12:32" x14ac:dyDescent="0.25">
      <c r="P70" s="1344" t="s">
        <v>3957</v>
      </c>
      <c r="Q70" s="112">
        <f>YEAR(Input!E11)</f>
        <v>1985</v>
      </c>
    </row>
    <row r="71" spans="12:32" x14ac:dyDescent="0.25">
      <c r="P71" s="1344" t="s">
        <v>3958</v>
      </c>
      <c r="Q71" s="545">
        <f>IF(Input!$K$3=1,Renten!S79,VLOOKUP(Q70,Renten!P75:S79,4))</f>
        <v>65</v>
      </c>
    </row>
    <row r="73" spans="12:32" x14ac:dyDescent="0.25">
      <c r="P73" s="1342" t="s">
        <v>3954</v>
      </c>
    </row>
    <row r="74" spans="12:32" x14ac:dyDescent="0.25">
      <c r="P74" s="545" t="s">
        <v>3950</v>
      </c>
      <c r="Q74" s="545" t="s">
        <v>3951</v>
      </c>
      <c r="S74" s="1343" t="s">
        <v>3955</v>
      </c>
      <c r="T74" s="1343" t="s">
        <v>3959</v>
      </c>
      <c r="U74" s="1343" t="s">
        <v>3960</v>
      </c>
      <c r="V74" s="1343" t="s">
        <v>3961</v>
      </c>
      <c r="W74" s="1347" t="s">
        <v>3962</v>
      </c>
      <c r="X74" s="1341" t="s">
        <v>3963</v>
      </c>
      <c r="Y74" s="1341" t="s">
        <v>3967</v>
      </c>
      <c r="Z74" s="1341" t="s">
        <v>3964</v>
      </c>
      <c r="AA74" s="1354" t="s">
        <v>3972</v>
      </c>
      <c r="AB74" s="1354" t="s">
        <v>3973</v>
      </c>
      <c r="AC74" s="1354" t="s">
        <v>3977</v>
      </c>
      <c r="AD74" s="1354" t="s">
        <v>3978</v>
      </c>
      <c r="AE74" s="1354" t="s">
        <v>3979</v>
      </c>
      <c r="AF74" s="1354" t="s">
        <v>3982</v>
      </c>
    </row>
    <row r="75" spans="12:32" x14ac:dyDescent="0.25">
      <c r="P75" s="112">
        <v>1953</v>
      </c>
      <c r="Q75" s="545" t="s">
        <v>3952</v>
      </c>
      <c r="S75" s="125">
        <v>64</v>
      </c>
      <c r="T75" s="125">
        <f>M51</f>
        <v>466042.62511709053</v>
      </c>
      <c r="U75" s="125">
        <f>IF(Input!$K$5=4,Renten!W75*Renten!T75,Renten!V75*Renten!T75)</f>
        <v>24467.237818647252</v>
      </c>
      <c r="V75" s="1346">
        <v>5.2499999999999998E-2</v>
      </c>
      <c r="W75" s="1346">
        <v>4.8000000000000001E-2</v>
      </c>
      <c r="X75" s="1346">
        <v>6.8000000000000005E-2</v>
      </c>
      <c r="Y75" s="1351">
        <f>Beitrag!$C$23%</f>
        <v>0.18</v>
      </c>
      <c r="Z75" s="112">
        <f>V51</f>
        <v>270477.73150177673</v>
      </c>
      <c r="AA75" s="1355">
        <f>Z75*X75</f>
        <v>18392.485742120818</v>
      </c>
      <c r="AB75" s="45">
        <f>IF(AA75&gt;U75,AA75,U75)</f>
        <v>24467.237818647252</v>
      </c>
      <c r="AC75" s="1343">
        <f>Q51+P58</f>
        <v>373500</v>
      </c>
      <c r="AD75" s="45">
        <f>$D$56*($E$56+$F$56)%</f>
        <v>18000</v>
      </c>
      <c r="AE75" s="1355">
        <f>AC75*V75</f>
        <v>19608.75</v>
      </c>
      <c r="AF75" s="1355">
        <v>0</v>
      </c>
    </row>
    <row r="76" spans="12:32" x14ac:dyDescent="0.25">
      <c r="P76" s="112">
        <v>1961</v>
      </c>
      <c r="Q76" s="545">
        <v>3</v>
      </c>
      <c r="S76" s="125">
        <v>64.25</v>
      </c>
      <c r="T76" s="125">
        <f>T75*G51/4+T75+K51/4</f>
        <v>472872.83824267599</v>
      </c>
      <c r="U76" s="125">
        <f>IF(Input!$K$5=4,Renten!W76*Renten!T76,Renten!V76*Renten!T76)</f>
        <v>25014.973143037561</v>
      </c>
      <c r="V76" s="1346">
        <v>5.2900000000000003E-2</v>
      </c>
      <c r="W76" s="1346">
        <v>4.8300000000000003E-2</v>
      </c>
      <c r="X76" s="1346">
        <v>6.8000000000000005E-2</v>
      </c>
      <c r="Y76" s="1351">
        <f>Beitrag!$C$23%</f>
        <v>0.18</v>
      </c>
      <c r="Z76" s="112">
        <f>Z75*T52/4+Z75+S4*Y76/4</f>
        <v>273965.30083053117</v>
      </c>
      <c r="AA76" s="1355">
        <f>Z76*X76</f>
        <v>18629.640456476121</v>
      </c>
      <c r="AB76" s="45">
        <f>IF(AA76&gt;U76,AA76,U76)</f>
        <v>25014.973143037561</v>
      </c>
      <c r="AC76" s="1343">
        <f>AC75+AD76/4</f>
        <v>378000</v>
      </c>
      <c r="AD76" s="45">
        <f t="shared" ref="AD76:AD79" si="18">$D$56*($E$56+$F$56)%</f>
        <v>18000</v>
      </c>
      <c r="AE76" s="1355">
        <f>AC76*V76</f>
        <v>19996.2</v>
      </c>
      <c r="AF76" s="1355">
        <f>Y76*$S$4/4</f>
        <v>2811.375</v>
      </c>
    </row>
    <row r="77" spans="12:32" x14ac:dyDescent="0.25">
      <c r="P77" s="112">
        <v>1962</v>
      </c>
      <c r="Q77" s="545">
        <v>6</v>
      </c>
      <c r="S77" s="125">
        <v>64.5</v>
      </c>
      <c r="T77" s="125">
        <f>T75*G51/2+T75+K51/2</f>
        <v>479703.05136826145</v>
      </c>
      <c r="U77" s="125">
        <f>IF(Input!$K$5=4,Renten!W77*Renten!T77,Renten!V77*Renten!T77)</f>
        <v>25568.172637928335</v>
      </c>
      <c r="V77" s="1346">
        <v>5.33E-2</v>
      </c>
      <c r="W77" s="1346">
        <v>4.87E-2</v>
      </c>
      <c r="X77" s="1346">
        <v>6.8000000000000005E-2</v>
      </c>
      <c r="Y77" s="1351">
        <f>Beitrag!$C$23%</f>
        <v>0.18</v>
      </c>
      <c r="Z77" s="112">
        <f>Z75*T52/2+Z75+S4*Y76/2</f>
        <v>277452.87015928561</v>
      </c>
      <c r="AA77" s="1355">
        <f>Z77*X77</f>
        <v>18866.795170831421</v>
      </c>
      <c r="AB77" s="45">
        <f>IF(AA77&gt;U77,AA77,U77)</f>
        <v>25568.172637928335</v>
      </c>
      <c r="AC77" s="1343">
        <f>AC76+AD77/4</f>
        <v>382500</v>
      </c>
      <c r="AD77" s="45">
        <f t="shared" si="18"/>
        <v>18000</v>
      </c>
      <c r="AE77" s="1355">
        <f>AC77*V77</f>
        <v>20387.25</v>
      </c>
      <c r="AF77" s="1355">
        <f>Y77*$S$4/2</f>
        <v>5622.75</v>
      </c>
    </row>
    <row r="78" spans="12:32" x14ac:dyDescent="0.25">
      <c r="P78" s="112">
        <v>1963</v>
      </c>
      <c r="Q78" s="545">
        <v>9</v>
      </c>
      <c r="S78" s="125">
        <v>64.75</v>
      </c>
      <c r="T78" s="125">
        <f>T75*G51/4*3+T75+K51/4*3</f>
        <v>486533.26449384692</v>
      </c>
      <c r="U78" s="125">
        <f>IF(Input!$K$5=4,Renten!W78*Renten!T78,Renten!V78*Renten!T78)</f>
        <v>26078.182976870197</v>
      </c>
      <c r="V78" s="1346">
        <v>5.3600000000000002E-2</v>
      </c>
      <c r="W78" s="1346">
        <v>4.9000000000000002E-2</v>
      </c>
      <c r="X78" s="1346">
        <v>6.8000000000000005E-2</v>
      </c>
      <c r="Y78" s="1351">
        <f>Beitrag!$C$23%</f>
        <v>0.18</v>
      </c>
      <c r="Z78" s="112">
        <f>Z75*T52/4*3+Z75+S4*Y76/4*3</f>
        <v>280940.43948804005</v>
      </c>
      <c r="AA78" s="1355">
        <f>Z78*X78</f>
        <v>19103.949885186725</v>
      </c>
      <c r="AB78" s="45">
        <f>IF(AA78&gt;U78,AA78,U78)</f>
        <v>26078.182976870197</v>
      </c>
      <c r="AC78" s="1343">
        <f>AC77+AD78/4</f>
        <v>387000</v>
      </c>
      <c r="AD78" s="45">
        <f t="shared" si="18"/>
        <v>18000</v>
      </c>
      <c r="AE78" s="1355">
        <f>AC78*V78</f>
        <v>20743.2</v>
      </c>
      <c r="AF78" s="1355">
        <f>Y78*$S$4/4*3</f>
        <v>8434.125</v>
      </c>
    </row>
    <row r="79" spans="12:32" x14ac:dyDescent="0.25">
      <c r="P79" s="112">
        <v>1964</v>
      </c>
      <c r="Q79" s="545" t="s">
        <v>3953</v>
      </c>
      <c r="S79" s="125">
        <v>65</v>
      </c>
      <c r="T79" s="125">
        <f>M52</f>
        <v>493363.47761943238</v>
      </c>
      <c r="U79" s="125">
        <f>IF(Input!$K$5=4,Renten!W79*Renten!T79,Renten!V79*Renten!T79)</f>
        <v>26641.627791449348</v>
      </c>
      <c r="V79" s="1346">
        <v>5.3999999999999999E-2</v>
      </c>
      <c r="W79" s="1346">
        <v>4.9299999999999997E-2</v>
      </c>
      <c r="X79" s="1346">
        <v>6.8000000000000005E-2</v>
      </c>
      <c r="Y79" s="1351">
        <f>Beitrag!$C$23%</f>
        <v>0.18</v>
      </c>
      <c r="Z79" s="112">
        <f>V52</f>
        <v>274016.5500667945</v>
      </c>
      <c r="AA79" s="1355">
        <f>Z79*X79</f>
        <v>18633.125404542028</v>
      </c>
      <c r="AB79" s="45">
        <f>IF(AA79&gt;U79,AA79,U79)</f>
        <v>26641.627791449348</v>
      </c>
      <c r="AC79" s="125">
        <f>Q52+P58</f>
        <v>391500</v>
      </c>
      <c r="AD79" s="45">
        <f t="shared" si="18"/>
        <v>18000</v>
      </c>
      <c r="AE79" s="1355">
        <f>AC79*V79</f>
        <v>21141</v>
      </c>
      <c r="AF79" s="1355">
        <f>Y79*$S$4</f>
        <v>11245.5</v>
      </c>
    </row>
    <row r="81" spans="17:31" x14ac:dyDescent="0.25">
      <c r="Q81" s="1344" t="s">
        <v>3971</v>
      </c>
      <c r="S81" s="125">
        <f>Q71</f>
        <v>65</v>
      </c>
      <c r="T81" s="125">
        <f>VLOOKUP(Q71,S75:T79,2)</f>
        <v>493363.47761943238</v>
      </c>
      <c r="U81" s="125">
        <f>VLOOKUP(Q71,S75:U79,3)</f>
        <v>26641.627791449348</v>
      </c>
      <c r="V81" s="1346">
        <f>VLOOKUP(Q71,S75:W79,4)</f>
        <v>5.3999999999999999E-2</v>
      </c>
      <c r="W81" s="1346">
        <f>VLOOKUP(Q71,S75:W79,5)</f>
        <v>4.9299999999999997E-2</v>
      </c>
      <c r="Z81" s="112">
        <f>VLOOKUP(Q71,S75:Z79,8)</f>
        <v>274016.5500667945</v>
      </c>
      <c r="AA81" s="112">
        <f>VLOOKUP(Q71,S75:AA79,9)</f>
        <v>18633.125404542028</v>
      </c>
      <c r="AB81" s="45">
        <f>VLOOKUP($Q$71,$S$75:$AD$79,10)</f>
        <v>26641.627791449348</v>
      </c>
      <c r="AC81" s="1343">
        <f>VLOOKUP($Q$71,$S$75:$AD$79,11)</f>
        <v>391500</v>
      </c>
      <c r="AE81" s="1343">
        <f>VLOOKUP($Q$71,$S$75:$AE$79,13)</f>
        <v>21141</v>
      </c>
    </row>
  </sheetData>
  <sheetProtection algorithmName="SHA-512" hashValue="3TFobu7ImCSRJI3pHWfurelR62U4FYYQDa05SbpmymlfUiAmJmjgfBgtZgvLbd9HBQB2YN9xn6413ZwVwY3vbQ==" saltValue="uuf+NMulMJ3XAUm/RCTUnA==" spinCount="100000" sheet="1" objects="1" scenarios="1" selectLockedCells="1" selectUnlockedCells="1"/>
  <phoneticPr fontId="2" type="noConversion"/>
  <conditionalFormatting sqref="B45 AB45:IV45">
    <cfRule type="expression" dxfId="8" priority="3" stopIfTrue="1">
      <formula>$A45=#REF!</formula>
    </cfRule>
  </conditionalFormatting>
  <conditionalFormatting sqref="H14:L57 M5:M11 V14:V50 U14:U57 M14:O44 P14:Q57 P5:Q12 M12:O12 U12:V13 Z5:AA57 H5:L12 H13:Q13 D5:D44 R5:R57 E5:G57">
    <cfRule type="expression" dxfId="7" priority="4" stopIfTrue="1">
      <formula>$K5=0</formula>
    </cfRule>
  </conditionalFormatting>
  <conditionalFormatting sqref="M45:O57">
    <cfRule type="expression" dxfId="6" priority="5" stopIfTrue="1">
      <formula>$K45=0</formula>
    </cfRule>
  </conditionalFormatting>
  <conditionalFormatting sqref="T5:T11">
    <cfRule type="expression" dxfId="5" priority="2" stopIfTrue="1">
      <formula>$K5=0</formula>
    </cfRule>
  </conditionalFormatting>
  <conditionalFormatting sqref="T12:T57">
    <cfRule type="expression" dxfId="4" priority="1" stopIfTrue="1">
      <formula>$K12=0</formula>
    </cfRule>
  </conditionalFormatting>
  <pageMargins left="0.39370078740157483" right="0.39370078740157483" top="0.39370078740157483" bottom="0.39370078740157483" header="0.51181102362204722" footer="0.51181102362204722"/>
  <pageSetup paperSize="9" scale="57" orientation="landscape" r:id="rId1"/>
  <headerFooter alignWithMargins="0"/>
  <customProperties>
    <customPr name="SSCSheetTrackingNo"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U263"/>
  <sheetViews>
    <sheetView zoomScale="125" workbookViewId="0"/>
  </sheetViews>
  <sheetFormatPr baseColWidth="10" defaultColWidth="11.44140625" defaultRowHeight="15" customHeight="1" x14ac:dyDescent="0.25"/>
  <cols>
    <col min="1" max="1" width="7" style="17" customWidth="1"/>
    <col min="2" max="2" width="10.5546875" style="17" customWidth="1"/>
    <col min="3" max="11" width="6.5546875" style="1" customWidth="1"/>
    <col min="12" max="12" width="7" style="1" customWidth="1"/>
    <col min="13" max="18" width="6.5546875" style="1" customWidth="1"/>
    <col min="19" max="19" width="7.109375" style="1" customWidth="1"/>
    <col min="20" max="25" width="6.5546875" style="1" customWidth="1"/>
    <col min="26" max="29" width="7.44140625" style="1" customWidth="1"/>
    <col min="30" max="47" width="6.5546875" style="1" customWidth="1"/>
    <col min="48" max="16384" width="11.44140625" style="1"/>
  </cols>
  <sheetData>
    <row r="1" spans="1:46" ht="18" customHeight="1" x14ac:dyDescent="0.25">
      <c r="A1" s="82" t="s">
        <v>1085</v>
      </c>
    </row>
    <row r="2" spans="1:46" ht="15" customHeight="1" x14ac:dyDescent="0.25">
      <c r="Q2" s="1133">
        <f>VLOOKUP(9,V5:AE13,V4-2014)</f>
        <v>132300</v>
      </c>
      <c r="R2" s="1133">
        <f>Q2+Q6</f>
        <v>158025</v>
      </c>
    </row>
    <row r="3" spans="1:46" s="18" customFormat="1" ht="15" customHeight="1" x14ac:dyDescent="0.25">
      <c r="B3" s="18">
        <v>1</v>
      </c>
      <c r="C3" s="18">
        <v>2</v>
      </c>
      <c r="D3" s="18">
        <v>3</v>
      </c>
      <c r="E3" s="18">
        <v>4</v>
      </c>
      <c r="F3" s="18">
        <v>5</v>
      </c>
      <c r="G3" s="18">
        <v>6</v>
      </c>
      <c r="H3" s="18">
        <v>7</v>
      </c>
      <c r="I3" s="18">
        <v>8</v>
      </c>
      <c r="J3" s="18">
        <v>9</v>
      </c>
      <c r="K3" s="18">
        <v>10</v>
      </c>
      <c r="L3" s="18">
        <v>11</v>
      </c>
      <c r="M3" s="18">
        <v>12</v>
      </c>
      <c r="N3" s="18">
        <v>13</v>
      </c>
      <c r="O3" s="18">
        <v>14</v>
      </c>
      <c r="P3" s="18">
        <v>15</v>
      </c>
      <c r="Q3" s="96">
        <f>VLOOKUP(2,V5:AE12,V4-2014)</f>
        <v>3675</v>
      </c>
      <c r="R3" s="1133">
        <f>Q3*P14</f>
        <v>1470</v>
      </c>
      <c r="V3" s="18">
        <v>1</v>
      </c>
      <c r="W3" s="18">
        <v>2</v>
      </c>
      <c r="X3" s="18">
        <v>3</v>
      </c>
      <c r="Y3" s="18">
        <v>4</v>
      </c>
      <c r="Z3" s="18">
        <v>5</v>
      </c>
      <c r="AA3" s="18">
        <v>6</v>
      </c>
      <c r="AB3" s="18">
        <v>7</v>
      </c>
      <c r="AC3" s="18">
        <v>8</v>
      </c>
      <c r="AD3" s="18">
        <v>9</v>
      </c>
      <c r="AE3" s="18">
        <v>10</v>
      </c>
    </row>
    <row r="4" spans="1:46" s="35" customFormat="1" ht="15" customHeight="1" x14ac:dyDescent="0.25">
      <c r="A4" s="1334"/>
      <c r="B4" s="97">
        <f>Input!E19</f>
        <v>100000</v>
      </c>
      <c r="C4" s="36">
        <v>0</v>
      </c>
      <c r="D4" s="36">
        <v>0</v>
      </c>
      <c r="E4" s="36">
        <v>0</v>
      </c>
      <c r="F4" s="36">
        <v>0</v>
      </c>
      <c r="G4" s="36">
        <v>0</v>
      </c>
      <c r="H4" s="36">
        <v>0</v>
      </c>
      <c r="I4" s="36">
        <v>0</v>
      </c>
      <c r="J4" s="36">
        <f>Q5</f>
        <v>22050</v>
      </c>
      <c r="K4" s="36">
        <f>Q5</f>
        <v>22050</v>
      </c>
      <c r="L4" s="36">
        <f>Q5</f>
        <v>22050</v>
      </c>
      <c r="M4" s="36">
        <f>Q5</f>
        <v>22050</v>
      </c>
      <c r="N4" s="36">
        <f>Q5</f>
        <v>22050</v>
      </c>
      <c r="O4" s="36">
        <f>Q5</f>
        <v>22050</v>
      </c>
      <c r="P4" s="36">
        <f>Q5</f>
        <v>22050</v>
      </c>
      <c r="Q4" s="96">
        <f>VLOOKUP(4,V5:AE12,V4-2014)</f>
        <v>8575</v>
      </c>
      <c r="R4" s="482"/>
      <c r="S4" s="12"/>
      <c r="T4" s="12"/>
      <c r="U4" s="12"/>
      <c r="V4" s="95">
        <f>Input!K1+2010</f>
        <v>2024</v>
      </c>
      <c r="W4" s="7">
        <v>2016</v>
      </c>
      <c r="X4" s="7">
        <v>2017</v>
      </c>
      <c r="Y4" s="7">
        <v>2018</v>
      </c>
      <c r="Z4" s="7">
        <v>2019</v>
      </c>
      <c r="AA4" s="7">
        <v>2020</v>
      </c>
      <c r="AB4" s="7">
        <v>2021</v>
      </c>
      <c r="AC4" s="7">
        <v>2022</v>
      </c>
      <c r="AD4" s="7">
        <v>2023</v>
      </c>
      <c r="AE4" s="7">
        <v>2024</v>
      </c>
      <c r="AF4" s="7"/>
      <c r="AG4" s="7"/>
    </row>
    <row r="5" spans="1:46" s="35" customFormat="1" ht="15" customHeight="1" x14ac:dyDescent="0.25">
      <c r="B5" s="888" t="s">
        <v>1644</v>
      </c>
      <c r="C5" s="36">
        <f>Q7</f>
        <v>62475</v>
      </c>
      <c r="D5" s="36">
        <f>Q9</f>
        <v>148200</v>
      </c>
      <c r="E5" s="36" t="s">
        <v>1081</v>
      </c>
      <c r="F5" s="36">
        <f>Q2</f>
        <v>132300</v>
      </c>
      <c r="G5" s="36">
        <f>Q8</f>
        <v>88200</v>
      </c>
      <c r="H5" s="36">
        <f>F5-Q6</f>
        <v>106575</v>
      </c>
      <c r="I5" s="36">
        <f>Q9*2</f>
        <v>296400</v>
      </c>
      <c r="J5" s="36">
        <f>Q7</f>
        <v>62475</v>
      </c>
      <c r="K5" s="36">
        <f>Q9</f>
        <v>148200</v>
      </c>
      <c r="L5" s="36" t="s">
        <v>1081</v>
      </c>
      <c r="M5" s="36">
        <f>Q2</f>
        <v>132300</v>
      </c>
      <c r="N5" s="36">
        <f>Q8</f>
        <v>88200</v>
      </c>
      <c r="O5" s="36">
        <f>Q2-Q6</f>
        <v>106575</v>
      </c>
      <c r="P5" s="36">
        <f>Q9*2</f>
        <v>296400</v>
      </c>
      <c r="Q5" s="96">
        <f>VLOOKUP(1,V5:AE12,V4-2014)</f>
        <v>22050</v>
      </c>
      <c r="R5" s="1133">
        <f>Q5*P14</f>
        <v>8820</v>
      </c>
      <c r="S5" s="93" t="s">
        <v>1102</v>
      </c>
      <c r="T5" s="92"/>
      <c r="U5" s="12"/>
      <c r="V5" s="12">
        <v>1</v>
      </c>
      <c r="W5" s="94">
        <v>21150</v>
      </c>
      <c r="X5" s="94">
        <v>21150</v>
      </c>
      <c r="Y5" s="94">
        <v>21150</v>
      </c>
      <c r="Z5" s="94">
        <v>21330</v>
      </c>
      <c r="AA5" s="94">
        <v>21330</v>
      </c>
      <c r="AB5" s="94">
        <v>21510</v>
      </c>
      <c r="AC5" s="94">
        <v>21510</v>
      </c>
      <c r="AD5" s="94">
        <v>22050</v>
      </c>
      <c r="AE5" s="1128">
        <v>22050</v>
      </c>
      <c r="AF5" s="933"/>
      <c r="AG5" s="933"/>
    </row>
    <row r="6" spans="1:46" ht="15" customHeight="1" x14ac:dyDescent="0.25">
      <c r="A6" s="2" t="s">
        <v>986</v>
      </c>
      <c r="B6" s="5">
        <v>1</v>
      </c>
      <c r="C6" s="1134">
        <f>IF(B4&lt;0.05,0,IF((B4-Q6)&lt;Q3,Q3,IF(B4&gt;Q8,Q7,B4-Q6)))</f>
        <v>62475</v>
      </c>
      <c r="D6" s="1134">
        <f>IF(B4&lt;0.05,0,IF((B4-Q6)&lt;Q3,Q3,IF(B4&gt;Q10,Q9,B4-Q6)))</f>
        <v>74275</v>
      </c>
      <c r="E6" s="1134">
        <f>IF(B4&lt;0.05,0,IF((B4-Q6)&lt;Q3,Q3,IF(B4&gt;(Q11+Q6),Q11,B4-Q6)))</f>
        <v>74275</v>
      </c>
      <c r="F6" s="1134">
        <f>IF(B4&lt;0.05,0,IF((B4-Q6)&lt;Q3,Q3,IF(B4&gt;R2,Q2,B4-Q6)))</f>
        <v>74275</v>
      </c>
      <c r="G6" s="1134">
        <f>IF(B4&lt;0.05,0,IF((B4-Q6)&lt;Q3,Q3,IF(B4&gt;R8,Q8,B4-Q6)))</f>
        <v>74275</v>
      </c>
      <c r="H6" s="1134">
        <f>IF(B4&lt;0.05,0,IF((B4-Q6)&lt;Q3,Q3,IF(B4&gt;R2-Q6,Q2-Q6,B4-Q6)))</f>
        <v>74275</v>
      </c>
      <c r="I6" s="1134">
        <f>IF(B4&lt;0.05,0,IF((B4-Q6)&lt;Q3,Q3,IF(B4&gt;2*Q9+Q6,Q9*2,B4-Q6)))</f>
        <v>74275</v>
      </c>
      <c r="J6" s="1134">
        <f>IF(B4&lt;Q5,0,IF((B4-Q6)&lt;Q3,Q3,IF(B4&gt;Q8,Q7,B4-Q6)))</f>
        <v>62475</v>
      </c>
      <c r="K6" s="1134">
        <f>IF(B4&lt;Q5,0,IF((B4-Q6)&lt;Q3,Q3,IF(B4&gt;Q10,Q9,B4-Q6)))</f>
        <v>74275</v>
      </c>
      <c r="L6" s="1134">
        <f>IF(B4&lt;Q5,0,IF((B4-Q6)&lt;Q3,Q3,IF(B4&gt;(Q11+Q6),Q11,B4-Q6)))</f>
        <v>74275</v>
      </c>
      <c r="M6" s="1134">
        <f>IF(B4&lt;Q5,0,IF((B4-Q6)&lt;Q3,Q3,IF(B4&gt;R2,Q2,B4-Q6)))</f>
        <v>74275</v>
      </c>
      <c r="N6" s="1134">
        <f>IF(B4&lt;Q5,0,IF((B4-Q6)&lt;Q3,Q3,IF(B4&gt;R8,Q8,B4-Q6)))</f>
        <v>74275</v>
      </c>
      <c r="O6" s="1134">
        <f>IF(B4&lt;Q5,0,IF((B4-Q6)&lt;Q3,Q3,IF(B4&gt;Q2,Q2-Q6,B4-Q6)))</f>
        <v>74275</v>
      </c>
      <c r="P6" s="1134">
        <f>IF(B4&lt;Q5,0,IF((B4-Q6)&lt;Q3,Q3,IF(B4&gt;2*Q9+Q6,Q9*2,B4-Q6)))</f>
        <v>74275</v>
      </c>
      <c r="Q6" s="96">
        <f>VLOOKUP(3,V5:AE12,V4-2014)</f>
        <v>25725</v>
      </c>
      <c r="R6" s="482"/>
      <c r="S6" s="93" t="s">
        <v>1103</v>
      </c>
      <c r="T6" s="92"/>
      <c r="U6" s="32"/>
      <c r="V6" s="12">
        <v>2</v>
      </c>
      <c r="W6" s="94">
        <v>3525</v>
      </c>
      <c r="X6" s="94">
        <v>3525</v>
      </c>
      <c r="Y6" s="94">
        <v>3525</v>
      </c>
      <c r="Z6" s="94">
        <v>3555</v>
      </c>
      <c r="AA6" s="94">
        <v>3555</v>
      </c>
      <c r="AB6" s="94">
        <v>3585</v>
      </c>
      <c r="AC6" s="94">
        <v>3585</v>
      </c>
      <c r="AD6" s="94">
        <v>3675</v>
      </c>
      <c r="AE6" s="1128">
        <v>3675</v>
      </c>
      <c r="AF6" s="933"/>
      <c r="AG6" s="933"/>
    </row>
    <row r="7" spans="1:46" ht="15" customHeight="1" x14ac:dyDescent="0.25">
      <c r="A7" s="2" t="s">
        <v>987</v>
      </c>
      <c r="B7" s="6">
        <v>2</v>
      </c>
      <c r="C7" s="1134">
        <f>IF((B4-Q14)&lt;Q3,Q3,IF((B4-Q14)&gt;Q7,Q7,B4-Q14))</f>
        <v>62475</v>
      </c>
      <c r="D7" s="1134">
        <f>IF((B4-Q14)&lt;Q3,Q3,IF(B4&gt;(Q9+Q14),Q9,B4-Q14))</f>
        <v>89710</v>
      </c>
      <c r="E7" s="1134">
        <f>IF((B4-Q14)&lt;Q3,Q3,IF(B4&gt;(Q11+Q14),Q11,B4-Q14))</f>
        <v>89710</v>
      </c>
      <c r="F7" s="1134">
        <f>IF((B4-Q14)&lt;Q3,Q3,IF(B4&gt;(Q2+Q14),Q2,B4-Q14))</f>
        <v>89710</v>
      </c>
      <c r="G7" s="1134">
        <f>IF((B4-Q14)&lt;Q3,Q3,IF(B4&gt;(Q8+Q14),Q8,B4-Q14))</f>
        <v>88200</v>
      </c>
      <c r="H7" s="1134">
        <f>IF((B4-Q14)&lt;Q3,Q3,IF(B4-Q14&gt;(Q2-Q6),Q2-Q6,B4-Q14))</f>
        <v>89710</v>
      </c>
      <c r="I7" s="1134">
        <f>IF((B4-Q14)&lt;Q3,Q3,IF(B4&gt;(2*Q9+Q14),Q9*2,B4-Q14))</f>
        <v>89710</v>
      </c>
      <c r="J7" s="1134">
        <f>IF(B4&lt;Q5,0,IF((B4-Q14)&lt;Q3,Q3,IF((B4-Q14)&gt;Q7,Q7,B4-Q14)))</f>
        <v>62475</v>
      </c>
      <c r="K7" s="1134">
        <f>IF(B4&lt;Q5,0,IF((B4-Q14)&lt;Q3,Q3,IF(B4&gt;(Q9+Q14),Q9,B4-Q14)))</f>
        <v>89710</v>
      </c>
      <c r="L7" s="1134">
        <f>IF(B4&lt;Q5,0,IF((B4-Q14)&lt;Q3,Q3,IF(B4&gt;(Q11+Q14),Q11,B4-Q14)))</f>
        <v>89710</v>
      </c>
      <c r="M7" s="1134">
        <f>IF(B4&lt;Q5,0,IF((B4-Q14)&lt;Q3,Q3,IF(B4&gt;(Q2+Q14),Q2,B4-Q14)))</f>
        <v>89710</v>
      </c>
      <c r="N7" s="1134">
        <f>IF(B4&lt;Q5,0,IF((B4-Q14)&lt;Q3,Q3,IF(B4&gt;(Q8+Q14),Q8,B4-Q14)))</f>
        <v>88200</v>
      </c>
      <c r="O7" s="1134">
        <f>IF(B4&lt;Q5,0,IF((B4-Q14)&lt;Q3,Q3,IF(B4-Q14&gt;(Q2-Q6),Q2-Q6,B4-Q14)))</f>
        <v>89710</v>
      </c>
      <c r="P7" s="1134">
        <f>IF(B4&lt;Q5,0,IF((B4-Q14)&lt;Q3,Q3,IF(B4&gt;(Q9*2+Q14),Q9*2,B4-Q14)))</f>
        <v>89710</v>
      </c>
      <c r="Q7" s="96">
        <f>VLOOKUP(6,V5:AE12,V4-2014)</f>
        <v>62475</v>
      </c>
      <c r="R7" s="482"/>
      <c r="S7" s="93" t="s">
        <v>1104</v>
      </c>
      <c r="T7" s="92"/>
      <c r="U7" s="32"/>
      <c r="V7" s="12">
        <v>3</v>
      </c>
      <c r="W7" s="94">
        <v>24675</v>
      </c>
      <c r="X7" s="94">
        <v>24675</v>
      </c>
      <c r="Y7" s="94">
        <v>24675</v>
      </c>
      <c r="Z7" s="94">
        <v>24885</v>
      </c>
      <c r="AA7" s="94">
        <v>24885</v>
      </c>
      <c r="AB7" s="94">
        <v>25095</v>
      </c>
      <c r="AC7" s="94">
        <v>25095</v>
      </c>
      <c r="AD7" s="94">
        <v>25725</v>
      </c>
      <c r="AE7" s="1128">
        <v>25725</v>
      </c>
      <c r="AF7" s="933"/>
      <c r="AG7" s="933"/>
    </row>
    <row r="8" spans="1:46" ht="15" customHeight="1" x14ac:dyDescent="0.25">
      <c r="A8" s="2" t="s">
        <v>988</v>
      </c>
      <c r="B8" s="6">
        <v>3</v>
      </c>
      <c r="C8" s="1134">
        <f>IF((B4-Q13)&lt;Q3,Q3,IF((B4-Q13)&gt;Q7,Q7,B4-Q13))</f>
        <v>62475</v>
      </c>
      <c r="D8" s="1134">
        <f>IF((B4-Q13)&lt;Q3,Q3,IF(B4&gt;(Q9+Q13),Q9,B4-Q13))</f>
        <v>80000</v>
      </c>
      <c r="E8" s="1134">
        <f>IF((B4-Q13)&lt;Q3,Q3,IF(B4&gt;(Q11+Q13),Q11,B4-Q13))</f>
        <v>80000</v>
      </c>
      <c r="F8" s="1134">
        <f>IF((B4-Q13)&lt;Q3,Q3,IF(B4&gt;(Q2+Q13),Q2,B4-Q13))</f>
        <v>80000</v>
      </c>
      <c r="G8" s="1134">
        <f>IF((B4-Q13)&lt;Q3,Q3,IF(B4&gt;(Q8+Q13),Q8,B4-Q13))</f>
        <v>80000</v>
      </c>
      <c r="H8" s="1134">
        <f>IF((B4-Q13)&lt;Q3,Q3,IF(B4&gt;(Q2),Q2-Q6,B4-Q13))</f>
        <v>80000</v>
      </c>
      <c r="I8" s="1134">
        <f>IF((B4-Q13)&lt;Q3,Q3,IF(B4&gt;(2*Q9+Q13),Q9*2,B4-Q13))</f>
        <v>80000</v>
      </c>
      <c r="J8" s="1134">
        <f>IF(B4&lt;Q5,0,IF((B4-Q13)&lt;Q3,Q3,IF(80%*B4&gt;Q7,Q7,B4-Q13)))</f>
        <v>62475</v>
      </c>
      <c r="K8" s="1134">
        <f>IF(B4&lt;Q5,0,IF((B4-Q13)&lt;Q3,Q3,IF(B4&gt;(Q9+Q13),Q9,B4-Q13)))</f>
        <v>80000</v>
      </c>
      <c r="L8" s="1134">
        <f>IF(B4&lt;Q5,0,IF((B4-Q13)&lt;Q3,Q3,IF(B4&gt;(Q11+Q13),Q11,B4-Q13)))</f>
        <v>80000</v>
      </c>
      <c r="M8" s="1134">
        <f>IF(B4&lt;Q5,0,IF((B4-Q13)&lt;Q3,Q3,IF(B4&gt;(Q2+Q13),Q2,B4-Q13)))</f>
        <v>80000</v>
      </c>
      <c r="N8" s="1134">
        <f>IF(B4&lt;Q5,0,IF((B4-Q13)&lt;Q3,Q3,IF(B4&gt;(Q8+Q13),Q8,B4-Q13)))</f>
        <v>80000</v>
      </c>
      <c r="O8" s="1134">
        <f>IF(B4&lt;Q5,0,IF((B4-Q13)&lt;Q3,Q3,IF(B4&gt;(Q2),Q2-Q13,B4-Q13)))</f>
        <v>80000</v>
      </c>
      <c r="P8" s="1134">
        <f>IF(B4&lt;Q5,0,IF((B4-Q13)&lt;Q3,Q3,IF(B4&gt;(Q9*2+Q13),Q9*2,B4-Q13)))</f>
        <v>80000</v>
      </c>
      <c r="Q8" s="96">
        <f>VLOOKUP(5,V5:AE12,V4-2014)</f>
        <v>88200</v>
      </c>
      <c r="R8" s="1133">
        <f>Q8+Q6</f>
        <v>113925</v>
      </c>
      <c r="S8" s="93" t="s">
        <v>1105</v>
      </c>
      <c r="T8" s="92"/>
      <c r="U8" s="32"/>
      <c r="V8" s="12">
        <v>4</v>
      </c>
      <c r="W8" s="94">
        <v>8225</v>
      </c>
      <c r="X8" s="94">
        <v>8225</v>
      </c>
      <c r="Y8" s="94">
        <v>8225</v>
      </c>
      <c r="Z8" s="94">
        <v>8295</v>
      </c>
      <c r="AA8" s="94">
        <v>8295</v>
      </c>
      <c r="AB8" s="94">
        <f>AB7/3</f>
        <v>8365</v>
      </c>
      <c r="AC8" s="94">
        <f>AC7/3</f>
        <v>8365</v>
      </c>
      <c r="AD8" s="94">
        <f>AD7/3</f>
        <v>8575</v>
      </c>
      <c r="AE8" s="1128">
        <v>8575</v>
      </c>
      <c r="AF8" s="933"/>
      <c r="AG8" s="933"/>
    </row>
    <row r="9" spans="1:46" ht="15" customHeight="1" x14ac:dyDescent="0.25">
      <c r="A9" s="2" t="s">
        <v>989</v>
      </c>
      <c r="B9" s="6">
        <v>4</v>
      </c>
      <c r="C9" s="1134">
        <f>IF(B4&lt;Q3,Q3,IF(B4&gt;Q7,Q7,B4))</f>
        <v>62475</v>
      </c>
      <c r="D9" s="1134">
        <f>IF(B4&lt;Q3,Q3,IF(B4&gt;Q9,Q9,B4))</f>
        <v>100000</v>
      </c>
      <c r="E9" s="1134">
        <f>IF(B4&lt;Q3,Q3,IF(B4&gt;Q11,Q11,B4))</f>
        <v>100000</v>
      </c>
      <c r="F9" s="1134">
        <f>IF(B4&lt;Q3,Q3,IF(B4&gt;Q2,Q2,B4))</f>
        <v>100000</v>
      </c>
      <c r="G9" s="1134">
        <f>IF(B4&lt;Q3,Q3,IF(B4&gt;Q8,Q8,B4))</f>
        <v>88200</v>
      </c>
      <c r="H9" s="1134">
        <f>IF(B4&lt;Q3,Q3,IF(B4&gt;Q2-Q6,Q2-Q6,B4))</f>
        <v>100000</v>
      </c>
      <c r="I9" s="1134">
        <f>IF(B4&lt;Q3,Q3,IF(B4&gt;Q9*2,Q9*2,B4))</f>
        <v>100000</v>
      </c>
      <c r="J9" s="1134">
        <f>IF(B4&lt;Q5,0,IF((B4)&lt;Q3,Q3,IF(B4&gt;Q7,Q7,B4)))</f>
        <v>62475</v>
      </c>
      <c r="K9" s="1134">
        <f>IF(B4&lt;Q5,0,IF((B4)&lt;Q3,Q3,IF(B4&gt;Q9,Q9,B4)))</f>
        <v>100000</v>
      </c>
      <c r="L9" s="1134">
        <f>IF(B4&lt;Q5,0,IF(B4&lt;Q3,Q3,IF(B4&gt;Q11,Q11,B4)))</f>
        <v>100000</v>
      </c>
      <c r="M9" s="1134">
        <f>IF(B4&lt;Q5,0,IF((B4)&lt;Q3,Q3,IF(B4&gt;Q2,Q2,B4)))</f>
        <v>100000</v>
      </c>
      <c r="N9" s="1134">
        <f>IF(B4&lt;Q5,0,IF((B4)&lt;Q3,Q3,IF(B4&gt;Q8,Q8,B4)))</f>
        <v>88200</v>
      </c>
      <c r="O9" s="1134">
        <f>IF(B4&lt;Q5,0,IF((B4)&lt;Q3,Q3,IF(B4&gt;Q2-Q6,Q2-Q6,B4)))</f>
        <v>100000</v>
      </c>
      <c r="P9" s="1134">
        <f>IF(B4&lt;Q5,0,IF((B4)&lt;Q3,Q3,IF(B4&gt;Q9*2,Q9*2,B4)))</f>
        <v>100000</v>
      </c>
      <c r="Q9" s="96">
        <f>VLOOKUP(8,V5:AE12,V4-2014)</f>
        <v>148200</v>
      </c>
      <c r="R9" s="482"/>
      <c r="S9" s="93" t="s">
        <v>1106</v>
      </c>
      <c r="T9" s="92"/>
      <c r="U9" s="32"/>
      <c r="V9" s="12">
        <v>5</v>
      </c>
      <c r="W9" s="94">
        <v>84600</v>
      </c>
      <c r="X9" s="94">
        <v>84600</v>
      </c>
      <c r="Y9" s="94">
        <v>84600</v>
      </c>
      <c r="Z9" s="94">
        <v>85320</v>
      </c>
      <c r="AA9" s="94">
        <v>85320</v>
      </c>
      <c r="AB9" s="94">
        <f>28680*3</f>
        <v>86040</v>
      </c>
      <c r="AC9" s="94">
        <f>28680*3</f>
        <v>86040</v>
      </c>
      <c r="AD9" s="94">
        <f>29400*3</f>
        <v>88200</v>
      </c>
      <c r="AE9" s="1128">
        <v>88200</v>
      </c>
      <c r="AF9" s="933"/>
      <c r="AG9" s="933"/>
    </row>
    <row r="10" spans="1:46" ht="15" customHeight="1" x14ac:dyDescent="0.25">
      <c r="A10" s="2" t="s">
        <v>1337</v>
      </c>
      <c r="B10" s="6">
        <v>5</v>
      </c>
      <c r="C10" s="1134">
        <f>IF(B4&lt;(Q6/2),0,IF(B4&gt;(Q11+Q6/2),Q11,IF((B4-Q6/2)&lt;Q3,Q3,B4-Q6/2)))</f>
        <v>87137.5</v>
      </c>
      <c r="D10" s="1134">
        <f>IF(B4&lt;(Q6/2),0,IF(B4&gt;(Q11+Q6/2),Q11,IF((B4-Q6/2)&lt;Q3,Q3,B4-Q6/2)))</f>
        <v>87137.5</v>
      </c>
      <c r="E10" s="1134">
        <f>IF(B4&lt;(Q6/2),0,IF(B4&gt;(Q11+Q6/2),Q11,IF((B4-Q6/2)&lt;Q3,Q3,B4-Q6/2)))</f>
        <v>87137.5</v>
      </c>
      <c r="F10" s="1134">
        <f>IF(B4&lt;(Q6/2),0,IF(B4&gt;(Q2+Q6/2),Q2,IF((B4-Q6/2)&lt;Q3,Q3,B4-Q6/2)))</f>
        <v>87137.5</v>
      </c>
      <c r="G10" s="1134">
        <f>IF(B4&lt;(Q6/2),0,IF(B4&gt;(Q8+Q6/2),Q8,IF((B4-Q6/2)&lt;Q3,Q3,B4-Q6/2)))</f>
        <v>87137.5</v>
      </c>
      <c r="H10" s="1134">
        <f>IF(B4&lt;(Q6/2),0,IF(B4&gt;(Q2-Q6),Q2-Q6,IF((B4-Q6/2)&lt;Q3,Q3,B4-Q6/2)))</f>
        <v>87137.5</v>
      </c>
      <c r="I10" s="1134">
        <f>IF(B4&lt;(Q6/2),0,IF(B4&gt;(2*Q9+Q6/2),2*Q9,IF((B4-Q6/2)&lt;Q3,Q3,B4-Q6/2)))</f>
        <v>87137.5</v>
      </c>
      <c r="J10" s="1134">
        <f>IF(B4&lt;(Q6/2),0,IF(B4&gt;(Q11+Q6/2),Q11,IF((B4-Q6/2)&lt;Q3,Q3,B4-Q6/2)))</f>
        <v>87137.5</v>
      </c>
      <c r="K10" s="1134">
        <f>IF(B4&lt;(Q6/2),0,IF(B4&gt;(Q11+Q6/2),Q11,IF((B4-Q6/2)&lt;Q3,Q3,B4-Q6/2)))</f>
        <v>87137.5</v>
      </c>
      <c r="L10" s="1134">
        <f>IF(B4&lt;(Q6/2),0,IF(B4&gt;(Q11+Q6/2),Q11,IF((B4-Q6/2)&lt;Q3,Q3,B4-Q6/2)))</f>
        <v>87137.5</v>
      </c>
      <c r="M10" s="1134">
        <f>IF(B4&lt;(Q6/2),0,IF(B4&gt;(Q2+Q6/2),Q2,IF((B4-Q6/2)&lt;Q3,Q3,B4-Q6/2)))</f>
        <v>87137.5</v>
      </c>
      <c r="N10" s="1134">
        <f>IF(B4&lt;(Q6/2),0,IF(B4&gt;(Q8+Q6/2),Q8,IF((B4-Q6/2)&lt;Q3,Q3,B4-Q6/2)))</f>
        <v>87137.5</v>
      </c>
      <c r="O10" s="1134">
        <f>IF(B4&lt;(Q6/2),0,IF(B4&gt;(Q2-Q6),Q2-Q6,IF((B4-Q6/2)&lt;Q3,Q3,B4-Q6/2)))</f>
        <v>87137.5</v>
      </c>
      <c r="P10" s="1134">
        <f>IF(B4&lt;(Q6/2),0,IF(B4&gt;(Q9*2+Q6/2),Q9*2,IF((B4-Q6/2)&lt;Q3,Q3,B4-Q6/2)))</f>
        <v>87137.5</v>
      </c>
      <c r="Q10" s="96">
        <f>Q9+Q6</f>
        <v>173925</v>
      </c>
      <c r="R10" s="482"/>
      <c r="S10" s="93" t="s">
        <v>1108</v>
      </c>
      <c r="T10" s="92"/>
      <c r="U10" s="32"/>
      <c r="V10" s="12">
        <v>6</v>
      </c>
      <c r="W10" s="94">
        <v>59925</v>
      </c>
      <c r="X10" s="94">
        <v>59925</v>
      </c>
      <c r="Y10" s="94">
        <v>59925</v>
      </c>
      <c r="Z10" s="94">
        <v>60435</v>
      </c>
      <c r="AA10" s="94">
        <v>60435</v>
      </c>
      <c r="AB10" s="94">
        <v>60945</v>
      </c>
      <c r="AC10" s="94">
        <v>60945</v>
      </c>
      <c r="AD10" s="94">
        <f>AD9-AD7</f>
        <v>62475</v>
      </c>
      <c r="AE10" s="1128">
        <v>62475</v>
      </c>
      <c r="AF10" s="933"/>
      <c r="AG10" s="933"/>
    </row>
    <row r="11" spans="1:46" ht="15" customHeight="1" x14ac:dyDescent="0.25">
      <c r="C11" s="109"/>
      <c r="N11" s="37"/>
      <c r="O11" s="37"/>
      <c r="P11" s="37"/>
      <c r="Q11" s="96">
        <f>VLOOKUP(7,V5:AE12,V4-2014)</f>
        <v>882000</v>
      </c>
      <c r="R11" s="482"/>
      <c r="S11" s="1" t="s">
        <v>1109</v>
      </c>
      <c r="V11" s="12">
        <v>7</v>
      </c>
      <c r="W11" s="94">
        <v>846000</v>
      </c>
      <c r="X11" s="94">
        <v>846000</v>
      </c>
      <c r="Y11" s="94">
        <v>846000</v>
      </c>
      <c r="Z11" s="94">
        <v>853200</v>
      </c>
      <c r="AA11" s="94">
        <v>853200</v>
      </c>
      <c r="AB11" s="94">
        <v>860400</v>
      </c>
      <c r="AC11" s="94">
        <v>860400</v>
      </c>
      <c r="AD11" s="94">
        <f>AD9*10</f>
        <v>882000</v>
      </c>
      <c r="AE11" s="1128">
        <v>882000</v>
      </c>
      <c r="AF11" s="933"/>
      <c r="AG11" s="933"/>
    </row>
    <row r="12" spans="1:46" ht="15" customHeight="1" x14ac:dyDescent="0.25">
      <c r="B12" s="6"/>
      <c r="C12" s="108"/>
      <c r="D12" s="37"/>
      <c r="J12" s="37"/>
      <c r="K12" s="37"/>
      <c r="L12" s="37"/>
      <c r="M12" s="37"/>
      <c r="Q12" s="98">
        <f>B4*20%</f>
        <v>20000</v>
      </c>
      <c r="R12" s="482"/>
      <c r="S12" s="1" t="s">
        <v>1107</v>
      </c>
      <c r="V12" s="12">
        <v>8</v>
      </c>
      <c r="W12" s="94">
        <v>148200</v>
      </c>
      <c r="X12" s="94">
        <v>148200</v>
      </c>
      <c r="Y12" s="94">
        <v>148200</v>
      </c>
      <c r="Z12" s="94">
        <v>148200</v>
      </c>
      <c r="AA12" s="94">
        <v>148200</v>
      </c>
      <c r="AB12" s="94">
        <v>148200</v>
      </c>
      <c r="AC12" s="94">
        <v>148200</v>
      </c>
      <c r="AD12" s="94">
        <v>148200</v>
      </c>
      <c r="AE12" s="1128">
        <v>148200</v>
      </c>
      <c r="AF12" s="933"/>
      <c r="AG12" s="933"/>
    </row>
    <row r="13" spans="1:46" ht="15" customHeight="1" x14ac:dyDescent="0.25">
      <c r="B13" s="6"/>
      <c r="C13" s="108"/>
      <c r="D13" s="37"/>
      <c r="E13" s="37"/>
      <c r="F13" s="37"/>
      <c r="G13" s="37"/>
      <c r="H13" s="37"/>
      <c r="I13" s="37"/>
      <c r="J13" s="37"/>
      <c r="K13" s="37"/>
      <c r="L13" s="37"/>
      <c r="M13" s="37"/>
      <c r="N13" s="37"/>
      <c r="O13" s="37"/>
      <c r="P13" s="37"/>
      <c r="Q13" s="99">
        <f>IF(Q12&gt;Q6,Q6,Q12)</f>
        <v>20000</v>
      </c>
      <c r="R13" s="482"/>
      <c r="S13" s="32" t="s">
        <v>2185</v>
      </c>
      <c r="V13" s="12">
        <v>9</v>
      </c>
      <c r="W13" s="94">
        <v>126900</v>
      </c>
      <c r="X13" s="94">
        <v>126900</v>
      </c>
      <c r="Y13" s="94">
        <v>126900</v>
      </c>
      <c r="Z13" s="94">
        <f>Z9/3*4.5</f>
        <v>127980</v>
      </c>
      <c r="AA13" s="94">
        <f>AA9/3*4.5</f>
        <v>127980</v>
      </c>
      <c r="AB13" s="94">
        <f>AB9/3*4.5</f>
        <v>129060</v>
      </c>
      <c r="AC13" s="94">
        <f>AC9/3*4.5</f>
        <v>129060</v>
      </c>
      <c r="AD13" s="94">
        <f>AD9/3*4.5</f>
        <v>132300</v>
      </c>
      <c r="AE13" s="94">
        <v>132300</v>
      </c>
    </row>
    <row r="14" spans="1:46" ht="18" customHeight="1" x14ac:dyDescent="0.25">
      <c r="A14" s="82" t="s">
        <v>1093</v>
      </c>
      <c r="B14" s="6"/>
      <c r="C14" s="37"/>
      <c r="D14" s="37"/>
      <c r="E14" s="37"/>
      <c r="F14" s="37"/>
      <c r="G14" s="37"/>
      <c r="H14" s="37"/>
      <c r="I14" s="37"/>
      <c r="J14" s="4"/>
      <c r="P14" s="101">
        <f>Input!E23</f>
        <v>0.4</v>
      </c>
      <c r="Q14" s="100">
        <f>Q6*P14</f>
        <v>10290</v>
      </c>
      <c r="R14" s="482"/>
      <c r="S14" s="782"/>
      <c r="T14" s="782"/>
      <c r="U14" s="782"/>
      <c r="V14" s="782"/>
      <c r="W14" s="782"/>
      <c r="X14" s="782"/>
      <c r="Y14" s="783"/>
      <c r="Z14" s="783"/>
      <c r="AA14" s="783"/>
      <c r="AB14" s="783"/>
    </row>
    <row r="15" spans="1:46" ht="15" customHeight="1" x14ac:dyDescent="0.25">
      <c r="B15" s="6"/>
      <c r="C15" s="37"/>
      <c r="D15" s="37"/>
      <c r="E15" s="37"/>
      <c r="F15" s="37"/>
      <c r="G15" s="37"/>
      <c r="H15" s="37"/>
      <c r="I15" s="4"/>
    </row>
    <row r="16" spans="1:46" s="18" customFormat="1" ht="15" customHeight="1" x14ac:dyDescent="0.25">
      <c r="B16" s="18">
        <v>1</v>
      </c>
      <c r="C16" s="18">
        <v>2</v>
      </c>
      <c r="D16" s="18">
        <v>3</v>
      </c>
      <c r="E16" s="18">
        <v>4</v>
      </c>
      <c r="F16" s="18">
        <v>5</v>
      </c>
      <c r="G16" s="18">
        <v>6</v>
      </c>
      <c r="H16" s="18">
        <v>7</v>
      </c>
      <c r="I16" s="18">
        <v>8</v>
      </c>
      <c r="J16" s="18">
        <v>9</v>
      </c>
      <c r="K16" s="18">
        <v>10</v>
      </c>
      <c r="L16" s="18">
        <v>11</v>
      </c>
      <c r="M16" s="18">
        <v>12</v>
      </c>
      <c r="N16" s="18">
        <v>13</v>
      </c>
      <c r="O16" s="18">
        <v>14</v>
      </c>
      <c r="P16" s="18">
        <v>15</v>
      </c>
      <c r="Q16" s="18">
        <v>16</v>
      </c>
      <c r="R16" s="18">
        <v>17</v>
      </c>
      <c r="S16" s="18">
        <v>18</v>
      </c>
      <c r="T16" s="18">
        <v>19</v>
      </c>
      <c r="U16" s="18">
        <v>20</v>
      </c>
      <c r="V16" s="18">
        <v>21</v>
      </c>
      <c r="W16" s="18">
        <v>22</v>
      </c>
      <c r="X16" s="18">
        <v>23</v>
      </c>
      <c r="Y16" s="18">
        <v>24</v>
      </c>
      <c r="Z16" s="18">
        <v>25</v>
      </c>
      <c r="AA16" s="18">
        <v>26</v>
      </c>
      <c r="AB16" s="18">
        <v>27</v>
      </c>
      <c r="AC16" s="18">
        <v>28</v>
      </c>
      <c r="AD16" s="18">
        <v>29</v>
      </c>
      <c r="AE16" s="18">
        <v>30</v>
      </c>
      <c r="AF16" s="18">
        <v>31</v>
      </c>
      <c r="AG16" s="18">
        <v>32</v>
      </c>
      <c r="AH16" s="18">
        <v>33</v>
      </c>
      <c r="AI16" s="18">
        <v>34</v>
      </c>
      <c r="AJ16" s="18">
        <v>35</v>
      </c>
      <c r="AK16" s="18">
        <v>36</v>
      </c>
      <c r="AL16" s="18">
        <v>37</v>
      </c>
      <c r="AM16" s="18">
        <v>38</v>
      </c>
      <c r="AN16" s="18">
        <v>39</v>
      </c>
      <c r="AO16" s="18">
        <v>40</v>
      </c>
      <c r="AP16" s="18">
        <v>41</v>
      </c>
      <c r="AQ16" s="18">
        <v>42</v>
      </c>
      <c r="AR16" s="18">
        <v>43</v>
      </c>
      <c r="AS16" s="18">
        <v>44</v>
      </c>
      <c r="AT16" s="18">
        <v>45</v>
      </c>
    </row>
    <row r="17" spans="1:46" s="12" customFormat="1" ht="15" customHeight="1" x14ac:dyDescent="0.25">
      <c r="A17" s="7"/>
      <c r="B17" s="7"/>
      <c r="C17" s="8" t="s">
        <v>965</v>
      </c>
      <c r="D17" s="8" t="s">
        <v>966</v>
      </c>
      <c r="E17" s="8" t="s">
        <v>967</v>
      </c>
      <c r="F17" s="8" t="s">
        <v>968</v>
      </c>
      <c r="G17" s="8" t="s">
        <v>969</v>
      </c>
      <c r="H17" s="8" t="s">
        <v>2186</v>
      </c>
      <c r="I17" s="8" t="s">
        <v>2187</v>
      </c>
      <c r="J17" s="8" t="s">
        <v>1618</v>
      </c>
      <c r="K17" s="8" t="s">
        <v>2188</v>
      </c>
      <c r="L17" s="9" t="s">
        <v>1006</v>
      </c>
      <c r="M17" s="9" t="s">
        <v>974</v>
      </c>
      <c r="N17" s="9" t="s">
        <v>975</v>
      </c>
      <c r="O17" s="10" t="s">
        <v>980</v>
      </c>
      <c r="P17" s="10" t="s">
        <v>1023</v>
      </c>
      <c r="Q17" s="10" t="s">
        <v>1024</v>
      </c>
      <c r="R17" s="10" t="s">
        <v>1025</v>
      </c>
      <c r="S17" s="10" t="s">
        <v>1026</v>
      </c>
      <c r="T17" s="10" t="s">
        <v>1008</v>
      </c>
      <c r="U17" s="10" t="s">
        <v>1009</v>
      </c>
      <c r="V17" s="10" t="s">
        <v>1010</v>
      </c>
      <c r="W17" s="10" t="s">
        <v>1011</v>
      </c>
      <c r="X17" s="10" t="s">
        <v>1012</v>
      </c>
      <c r="Y17" s="10" t="s">
        <v>1013</v>
      </c>
      <c r="Z17" s="10" t="s">
        <v>1014</v>
      </c>
      <c r="AA17" s="10" t="s">
        <v>1126</v>
      </c>
      <c r="AB17" s="10" t="s">
        <v>1127</v>
      </c>
      <c r="AC17" s="11" t="s">
        <v>1006</v>
      </c>
      <c r="AD17" s="11" t="s">
        <v>1017</v>
      </c>
      <c r="AE17" s="11" t="s">
        <v>1018</v>
      </c>
      <c r="AF17" s="11" t="s">
        <v>1019</v>
      </c>
      <c r="AG17" s="11" t="s">
        <v>1020</v>
      </c>
      <c r="AH17" s="11" t="s">
        <v>981</v>
      </c>
      <c r="AI17" s="19" t="s">
        <v>998</v>
      </c>
      <c r="AJ17" s="19" t="s">
        <v>999</v>
      </c>
      <c r="AK17" s="19" t="s">
        <v>1000</v>
      </c>
      <c r="AL17" s="19" t="s">
        <v>1001</v>
      </c>
      <c r="AM17" s="19" t="s">
        <v>1002</v>
      </c>
      <c r="AN17" s="19" t="s">
        <v>2189</v>
      </c>
      <c r="AO17" s="19" t="s">
        <v>2190</v>
      </c>
      <c r="AP17" s="19" t="s">
        <v>2191</v>
      </c>
      <c r="AQ17" s="19" t="s">
        <v>2192</v>
      </c>
      <c r="AR17" s="19" t="s">
        <v>1217</v>
      </c>
      <c r="AS17" s="19" t="s">
        <v>1003</v>
      </c>
      <c r="AT17" s="19" t="s">
        <v>1004</v>
      </c>
    </row>
    <row r="18" spans="1:46" s="3" customFormat="1" ht="15" customHeight="1" x14ac:dyDescent="0.25">
      <c r="A18" s="83" t="s">
        <v>1259</v>
      </c>
      <c r="B18" s="13">
        <v>0</v>
      </c>
      <c r="C18" s="14">
        <f t="shared" ref="C18:M18" si="0">IF($B$26=1,C20,0)</f>
        <v>0</v>
      </c>
      <c r="D18" s="14">
        <f t="shared" si="0"/>
        <v>0</v>
      </c>
      <c r="E18" s="14">
        <f t="shared" si="0"/>
        <v>0</v>
      </c>
      <c r="F18" s="14">
        <f t="shared" si="0"/>
        <v>0</v>
      </c>
      <c r="G18" s="14">
        <f t="shared" si="0"/>
        <v>0</v>
      </c>
      <c r="H18" s="14">
        <f t="shared" si="0"/>
        <v>0</v>
      </c>
      <c r="I18" s="14">
        <f t="shared" si="0"/>
        <v>0</v>
      </c>
      <c r="J18" s="14">
        <f t="shared" si="0"/>
        <v>0</v>
      </c>
      <c r="K18" s="14">
        <f t="shared" si="0"/>
        <v>0</v>
      </c>
      <c r="L18" s="15">
        <f t="shared" si="0"/>
        <v>0</v>
      </c>
      <c r="M18" s="15">
        <f t="shared" si="0"/>
        <v>0</v>
      </c>
      <c r="N18" s="15">
        <v>0</v>
      </c>
      <c r="O18" s="377">
        <f>IF(Input!$K$51=1,Beitrag!O24,Beitrag!O29)</f>
        <v>0.28000000000000003</v>
      </c>
      <c r="P18" s="377">
        <f>IF(Input!$K$51=1,Beitrag!P24,Beitrag!P29)</f>
        <v>0.1</v>
      </c>
      <c r="Q18" s="377">
        <f>IF(Input!$K$51=1,Beitrag!Q24,Beitrag!Q29)</f>
        <v>0.16</v>
      </c>
      <c r="R18" s="377">
        <f>IF(Input!$K$51=1,Beitrag!R24,Beitrag!R29)</f>
        <v>0.2</v>
      </c>
      <c r="S18" s="377">
        <f>IF(Input!$K$51=1,Beitrag!S24,Beitrag!S29)</f>
        <v>0.26</v>
      </c>
      <c r="T18" s="377">
        <f>IF(Input!$K$51=1,Beitrag!T24,Beitrag!T29)</f>
        <v>0.3</v>
      </c>
      <c r="U18" s="377">
        <f>IF(Input!$K$51=1,Beitrag!U24,Beitrag!U29)</f>
        <v>0.36</v>
      </c>
      <c r="V18" s="377">
        <f>IF(Input!$K$51=1,Beitrag!V24,Beitrag!V29)</f>
        <v>0.4</v>
      </c>
      <c r="W18" s="377">
        <f>IF(Input!$K$51=1,Beitrag!W24,Beitrag!W29)</f>
        <v>0.46</v>
      </c>
      <c r="X18" s="377">
        <f>IF(Input!$K$51=1,Beitrag!X24,Beitrag!X29)</f>
        <v>0.5</v>
      </c>
      <c r="Y18" s="377">
        <f>IF(Input!$K$51=1,Beitrag!Y24,Beitrag!Y29)</f>
        <v>0.56000000000000005</v>
      </c>
      <c r="Z18" s="377">
        <f>IF(Input!$K$51=1,Beitrag!Z24,Beitrag!Z29)</f>
        <v>0.6</v>
      </c>
      <c r="AA18" s="377">
        <f>IF(Input!$K$51=1,Beitrag!AA24,Beitrag!AA29)</f>
        <v>0.66</v>
      </c>
      <c r="AB18" s="377">
        <f>IF(Input!$K$51=1,Beitrag!AB24,Beitrag!AB29)</f>
        <v>0.7</v>
      </c>
      <c r="AC18" s="16">
        <v>0</v>
      </c>
      <c r="AD18" s="16">
        <v>0.02</v>
      </c>
      <c r="AE18" s="16">
        <v>0.04</v>
      </c>
      <c r="AF18" s="16">
        <v>0.06</v>
      </c>
      <c r="AG18" s="16">
        <v>0.08</v>
      </c>
      <c r="AH18" s="16"/>
      <c r="AI18" s="920">
        <v>0.08</v>
      </c>
      <c r="AJ18" s="920">
        <v>0.1</v>
      </c>
      <c r="AK18" s="920">
        <v>0.12</v>
      </c>
      <c r="AL18" s="920">
        <v>0.14000000000000001</v>
      </c>
      <c r="AM18" s="920">
        <v>0.16</v>
      </c>
      <c r="AN18" s="920">
        <v>0.1</v>
      </c>
      <c r="AO18" s="920">
        <v>0.11</v>
      </c>
      <c r="AP18" s="920">
        <v>0.05</v>
      </c>
      <c r="AQ18" s="920">
        <v>0.06</v>
      </c>
      <c r="AR18" s="20">
        <v>0</v>
      </c>
      <c r="AS18" s="920">
        <v>0.02</v>
      </c>
      <c r="AT18" s="920">
        <v>0.04</v>
      </c>
    </row>
    <row r="19" spans="1:46" s="3" customFormat="1" ht="15" customHeight="1" x14ac:dyDescent="0.25">
      <c r="A19" s="83" t="s">
        <v>1260</v>
      </c>
      <c r="B19" s="13">
        <v>1</v>
      </c>
      <c r="C19" s="14">
        <f t="shared" ref="C19:M19" si="1">IF($B$26&lt;&gt;3,C20,0)</f>
        <v>0</v>
      </c>
      <c r="D19" s="14">
        <f t="shared" si="1"/>
        <v>0</v>
      </c>
      <c r="E19" s="14">
        <f t="shared" si="1"/>
        <v>0</v>
      </c>
      <c r="F19" s="14">
        <f t="shared" si="1"/>
        <v>0</v>
      </c>
      <c r="G19" s="14">
        <f t="shared" si="1"/>
        <v>0</v>
      </c>
      <c r="H19" s="14">
        <f t="shared" si="1"/>
        <v>0</v>
      </c>
      <c r="I19" s="14">
        <f t="shared" si="1"/>
        <v>0</v>
      </c>
      <c r="J19" s="14">
        <f t="shared" si="1"/>
        <v>0</v>
      </c>
      <c r="K19" s="14">
        <f t="shared" si="1"/>
        <v>0</v>
      </c>
      <c r="L19" s="15">
        <f t="shared" si="1"/>
        <v>0</v>
      </c>
      <c r="M19" s="15">
        <f t="shared" si="1"/>
        <v>0</v>
      </c>
      <c r="N19" s="15">
        <v>0</v>
      </c>
      <c r="O19" s="377">
        <f>IF(Input!$K$51=1,Beitrag!O24,Beitrag!O29)</f>
        <v>0.28000000000000003</v>
      </c>
      <c r="P19" s="377">
        <f>IF(Input!$K$51=1,Beitrag!P24,Beitrag!P29)</f>
        <v>0.1</v>
      </c>
      <c r="Q19" s="377">
        <f>IF(Input!$K$51=1,Beitrag!Q24,Beitrag!Q29)</f>
        <v>0.16</v>
      </c>
      <c r="R19" s="377">
        <f>IF(Input!$K$51=1,Beitrag!R24,Beitrag!R29)</f>
        <v>0.2</v>
      </c>
      <c r="S19" s="377">
        <f>IF(Input!$K$51=1,Beitrag!S24,Beitrag!S29)</f>
        <v>0.26</v>
      </c>
      <c r="T19" s="377">
        <f>IF(Input!$K$51=1,Beitrag!T24,Beitrag!T29)</f>
        <v>0.3</v>
      </c>
      <c r="U19" s="377">
        <f>IF(Input!$K$51=1,Beitrag!U24,Beitrag!U29)</f>
        <v>0.36</v>
      </c>
      <c r="V19" s="377">
        <f>IF(Input!$K$51=1,Beitrag!V24,Beitrag!V29)</f>
        <v>0.4</v>
      </c>
      <c r="W19" s="377">
        <f>IF(Input!$K$51=1,Beitrag!W24,Beitrag!W29)</f>
        <v>0.46</v>
      </c>
      <c r="X19" s="377">
        <f>IF(Input!$K$51=1,Beitrag!X24,Beitrag!X29)</f>
        <v>0.5</v>
      </c>
      <c r="Y19" s="377">
        <f>IF(Input!$K$51=1,Beitrag!Y24,Beitrag!Y29)</f>
        <v>0.56000000000000005</v>
      </c>
      <c r="Z19" s="377">
        <f>IF(Input!$K$51=1,Beitrag!Z24,Beitrag!Z29)</f>
        <v>0.6</v>
      </c>
      <c r="AA19" s="377">
        <f>IF(Input!$K$51=1,Beitrag!AA24,Beitrag!AA29)</f>
        <v>0.66</v>
      </c>
      <c r="AB19" s="377">
        <f>IF(Input!$K$51=1,Beitrag!AB24,Beitrag!AB29)</f>
        <v>0.7</v>
      </c>
      <c r="AC19" s="16">
        <v>0</v>
      </c>
      <c r="AD19" s="16">
        <v>0.02</v>
      </c>
      <c r="AE19" s="16">
        <v>0.04</v>
      </c>
      <c r="AF19" s="16">
        <v>0.06</v>
      </c>
      <c r="AG19" s="16">
        <v>0.08</v>
      </c>
      <c r="AH19" s="16"/>
      <c r="AI19" s="920">
        <v>0.08</v>
      </c>
      <c r="AJ19" s="920">
        <v>0.1</v>
      </c>
      <c r="AK19" s="920">
        <v>0.12</v>
      </c>
      <c r="AL19" s="920">
        <v>0.14000000000000001</v>
      </c>
      <c r="AM19" s="920">
        <v>0.16</v>
      </c>
      <c r="AN19" s="920">
        <f>AN18</f>
        <v>0.1</v>
      </c>
      <c r="AO19" s="920">
        <f>AO18</f>
        <v>0.11</v>
      </c>
      <c r="AP19" s="920">
        <f>AP18</f>
        <v>0.05</v>
      </c>
      <c r="AQ19" s="920">
        <f>AQ18</f>
        <v>0.06</v>
      </c>
      <c r="AR19" s="20">
        <v>0</v>
      </c>
      <c r="AS19" s="920">
        <v>0.02</v>
      </c>
      <c r="AT19" s="920">
        <v>0.04</v>
      </c>
    </row>
    <row r="20" spans="1:46" s="3" customFormat="1" ht="15" customHeight="1" x14ac:dyDescent="0.25">
      <c r="A20" s="13" t="s">
        <v>994</v>
      </c>
      <c r="B20" s="13">
        <v>2</v>
      </c>
      <c r="C20" s="14">
        <v>7</v>
      </c>
      <c r="D20" s="14">
        <v>11</v>
      </c>
      <c r="E20" s="14">
        <v>16.5</v>
      </c>
      <c r="F20" s="14">
        <v>20</v>
      </c>
      <c r="G20" s="14">
        <v>21</v>
      </c>
      <c r="H20" s="14">
        <v>8</v>
      </c>
      <c r="I20" s="14">
        <v>9</v>
      </c>
      <c r="J20" s="14">
        <v>5</v>
      </c>
      <c r="K20" s="14">
        <v>6</v>
      </c>
      <c r="L20" s="15">
        <v>0</v>
      </c>
      <c r="M20" s="15">
        <v>2</v>
      </c>
      <c r="N20" s="15">
        <v>4</v>
      </c>
      <c r="O20" s="377">
        <f>IF(Input!$K$51=1,Beitrag!O25,Beitrag!O30)</f>
        <v>0.52</v>
      </c>
      <c r="P20" s="377">
        <f>IF(Input!$K$51=1,Beitrag!P25,Beitrag!P30)</f>
        <v>0.16</v>
      </c>
      <c r="Q20" s="377">
        <f>IF(Input!$K$51=1,Beitrag!Q25,Beitrag!Q30)</f>
        <v>0.24</v>
      </c>
      <c r="R20" s="377">
        <f>IF(Input!$K$51=1,Beitrag!R25,Beitrag!R30)</f>
        <v>0.32</v>
      </c>
      <c r="S20" s="377">
        <f>IF(Input!$K$51=1,Beitrag!S25,Beitrag!S30)</f>
        <v>0.4</v>
      </c>
      <c r="T20" s="377">
        <f>IF(Input!$K$51=1,Beitrag!T25,Beitrag!T30)</f>
        <v>0.48</v>
      </c>
      <c r="U20" s="377">
        <f>IF(Input!$K$51=1,Beitrag!U25,Beitrag!U30)</f>
        <v>0.56000000000000005</v>
      </c>
      <c r="V20" s="377">
        <f>IF(Input!$K$51=1,Beitrag!V25,Beitrag!V30)</f>
        <v>0.64</v>
      </c>
      <c r="W20" s="377">
        <f>IF(Input!$K$51=1,Beitrag!W25,Beitrag!W30)</f>
        <v>0.72</v>
      </c>
      <c r="X20" s="377">
        <f>IF(Input!$K$51=1,Beitrag!X25,Beitrag!X30)</f>
        <v>0.8</v>
      </c>
      <c r="Y20" s="377">
        <f>IF(Input!$K$51=1,Beitrag!Y25,Beitrag!Y30)</f>
        <v>0.88</v>
      </c>
      <c r="Z20" s="377">
        <f>IF(Input!$K$51=1,Beitrag!Z25,Beitrag!Z30)</f>
        <v>0.96</v>
      </c>
      <c r="AA20" s="377">
        <f>IF(Input!$K$51=1,Beitrag!AA25,Beitrag!AA30)</f>
        <v>1.04</v>
      </c>
      <c r="AB20" s="377">
        <f>IF(Input!$K$51=1,Beitrag!AB25,Beitrag!AB30)</f>
        <v>1.1200000000000001</v>
      </c>
      <c r="AC20" s="16">
        <v>0</v>
      </c>
      <c r="AD20" s="16">
        <v>0.02</v>
      </c>
      <c r="AE20" s="16">
        <v>0.04</v>
      </c>
      <c r="AF20" s="16">
        <v>0.06</v>
      </c>
      <c r="AG20" s="16">
        <v>0.08</v>
      </c>
      <c r="AH20" s="16"/>
      <c r="AI20" s="920">
        <v>0.18</v>
      </c>
      <c r="AJ20" s="920">
        <v>0.22</v>
      </c>
      <c r="AK20" s="920">
        <v>0.26</v>
      </c>
      <c r="AL20" s="920">
        <v>0.3</v>
      </c>
      <c r="AM20" s="920">
        <v>0.34</v>
      </c>
      <c r="AN20" s="920">
        <v>0.21</v>
      </c>
      <c r="AO20" s="920">
        <v>0.22999999999999998</v>
      </c>
      <c r="AP20" s="920">
        <v>0.1</v>
      </c>
      <c r="AQ20" s="920">
        <v>0.12</v>
      </c>
      <c r="AR20" s="20">
        <v>0</v>
      </c>
      <c r="AS20" s="920">
        <v>0.04</v>
      </c>
      <c r="AT20" s="920">
        <v>0.06</v>
      </c>
    </row>
    <row r="21" spans="1:46" s="3" customFormat="1" ht="15" customHeight="1" x14ac:dyDescent="0.25">
      <c r="A21" s="13" t="s">
        <v>995</v>
      </c>
      <c r="B21" s="13">
        <v>3</v>
      </c>
      <c r="C21" s="14">
        <v>10</v>
      </c>
      <c r="D21" s="14">
        <v>12</v>
      </c>
      <c r="E21" s="14">
        <v>16.5</v>
      </c>
      <c r="F21" s="14">
        <v>20</v>
      </c>
      <c r="G21" s="14">
        <v>22</v>
      </c>
      <c r="H21" s="14">
        <v>11</v>
      </c>
      <c r="I21" s="14">
        <v>12</v>
      </c>
      <c r="J21" s="14">
        <v>7</v>
      </c>
      <c r="K21" s="14">
        <v>8</v>
      </c>
      <c r="L21" s="15">
        <v>0</v>
      </c>
      <c r="M21" s="15">
        <v>2</v>
      </c>
      <c r="N21" s="15">
        <v>3</v>
      </c>
      <c r="O21" s="377">
        <f>IF(Input!$K$51=1,Beitrag!O26,Beitrag!O31)</f>
        <v>0.64</v>
      </c>
      <c r="P21" s="377">
        <f>IF(Input!$K$51=1,Beitrag!P26,Beitrag!P31)</f>
        <v>0.2</v>
      </c>
      <c r="Q21" s="377">
        <f>IF(Input!$K$51=1,Beitrag!Q26,Beitrag!Q31)</f>
        <v>0.3</v>
      </c>
      <c r="R21" s="377">
        <f>IF(Input!$K$51=1,Beitrag!R26,Beitrag!R31)</f>
        <v>0.4</v>
      </c>
      <c r="S21" s="377">
        <f>IF(Input!$K$51=1,Beitrag!S26,Beitrag!S31)</f>
        <v>0.5</v>
      </c>
      <c r="T21" s="377">
        <f>IF(Input!$K$51=1,Beitrag!T26,Beitrag!T31)</f>
        <v>0.6</v>
      </c>
      <c r="U21" s="377">
        <f>IF(Input!$K$51=1,Beitrag!U26,Beitrag!U31)</f>
        <v>0.7</v>
      </c>
      <c r="V21" s="377">
        <f>IF(Input!$K$51=1,Beitrag!V26,Beitrag!V31)</f>
        <v>0.8</v>
      </c>
      <c r="W21" s="377">
        <f>IF(Input!$K$51=1,Beitrag!W26,Beitrag!W31)</f>
        <v>0.9</v>
      </c>
      <c r="X21" s="377">
        <f>IF(Input!$K$51=1,Beitrag!X26,Beitrag!X31)</f>
        <v>1</v>
      </c>
      <c r="Y21" s="377">
        <f>IF(Input!$K$51=1,Beitrag!Y26,Beitrag!Y31)</f>
        <v>1.1000000000000001</v>
      </c>
      <c r="Z21" s="377">
        <f>IF(Input!$K$51=1,Beitrag!Z26,Beitrag!Z31)</f>
        <v>1.2</v>
      </c>
      <c r="AA21" s="377">
        <f>IF(Input!$K$51=1,Beitrag!AA26,Beitrag!AA31)</f>
        <v>1.3</v>
      </c>
      <c r="AB21" s="377">
        <f>IF(Input!$K$51=1,Beitrag!AB26,Beitrag!AB31)</f>
        <v>1.4</v>
      </c>
      <c r="AC21" s="16">
        <v>0</v>
      </c>
      <c r="AD21" s="16">
        <v>0.02</v>
      </c>
      <c r="AE21" s="16">
        <v>0.04</v>
      </c>
      <c r="AF21" s="16">
        <v>0.06</v>
      </c>
      <c r="AG21" s="16">
        <v>0.08</v>
      </c>
      <c r="AH21" s="16"/>
      <c r="AI21" s="920">
        <v>0.26</v>
      </c>
      <c r="AJ21" s="920">
        <v>0.38</v>
      </c>
      <c r="AK21" s="920">
        <v>0.46</v>
      </c>
      <c r="AL21" s="920">
        <v>0.52</v>
      </c>
      <c r="AM21" s="920">
        <v>0.6</v>
      </c>
      <c r="AN21" s="920">
        <v>0.28999999999999998</v>
      </c>
      <c r="AO21" s="920">
        <v>0.31</v>
      </c>
      <c r="AP21" s="920">
        <v>0.22</v>
      </c>
      <c r="AQ21" s="920">
        <v>0.25</v>
      </c>
      <c r="AR21" s="20">
        <v>0</v>
      </c>
      <c r="AS21" s="920">
        <v>0.06</v>
      </c>
      <c r="AT21" s="920">
        <v>0.08</v>
      </c>
    </row>
    <row r="22" spans="1:46" s="3" customFormat="1" ht="15" customHeight="1" x14ac:dyDescent="0.25">
      <c r="A22" s="13" t="s">
        <v>996</v>
      </c>
      <c r="B22" s="13">
        <v>4</v>
      </c>
      <c r="C22" s="14">
        <v>15</v>
      </c>
      <c r="D22" s="14">
        <v>15</v>
      </c>
      <c r="E22" s="14">
        <v>16.5</v>
      </c>
      <c r="F22" s="14">
        <v>20</v>
      </c>
      <c r="G22" s="14">
        <v>23</v>
      </c>
      <c r="H22" s="14">
        <v>16</v>
      </c>
      <c r="I22" s="14">
        <v>17</v>
      </c>
      <c r="J22" s="14">
        <v>10</v>
      </c>
      <c r="K22" s="14">
        <v>11</v>
      </c>
      <c r="L22" s="15">
        <v>0</v>
      </c>
      <c r="M22" s="15">
        <v>2</v>
      </c>
      <c r="N22" s="15">
        <v>2</v>
      </c>
      <c r="O22" s="377">
        <f>IF(Input!$K$51=1,Beitrag!O27,Beitrag!O32)</f>
        <v>0.72</v>
      </c>
      <c r="P22" s="377">
        <f>IF(Input!$K$51=1,Beitrag!P27,Beitrag!P32)</f>
        <v>0.26</v>
      </c>
      <c r="Q22" s="377">
        <f>IF(Input!$K$51=1,Beitrag!Q27,Beitrag!Q32)</f>
        <v>0.4</v>
      </c>
      <c r="R22" s="377">
        <f>IF(Input!$K$51=1,Beitrag!R27,Beitrag!R32)</f>
        <v>0.52</v>
      </c>
      <c r="S22" s="377">
        <f>IF(Input!$K$51=1,Beitrag!S27,Beitrag!S32)</f>
        <v>0.66</v>
      </c>
      <c r="T22" s="377">
        <f>IF(Input!$K$51=1,Beitrag!T27,Beitrag!T32)</f>
        <v>0.78</v>
      </c>
      <c r="U22" s="377">
        <f>IF(Input!$K$51=1,Beitrag!U27,Beitrag!U32)</f>
        <v>0.92</v>
      </c>
      <c r="V22" s="377">
        <f>IF(Input!$K$51=1,Beitrag!V27,Beitrag!V32)</f>
        <v>1.04</v>
      </c>
      <c r="W22" s="377">
        <f>IF(Input!$K$51=1,Beitrag!W27,Beitrag!W32)</f>
        <v>1.18</v>
      </c>
      <c r="X22" s="377">
        <f>IF(Input!$K$51=1,Beitrag!X27,Beitrag!X32)</f>
        <v>1.3</v>
      </c>
      <c r="Y22" s="377">
        <f>IF(Input!$K$51=1,Beitrag!Y27,Beitrag!Y32)</f>
        <v>1.44</v>
      </c>
      <c r="Z22" s="377">
        <f>IF(Input!$K$51=1,Beitrag!Z27,Beitrag!Z32)</f>
        <v>1.56</v>
      </c>
      <c r="AA22" s="377">
        <f>IF(Input!$K$51=1,Beitrag!AA27,Beitrag!AA32)</f>
        <v>1.7</v>
      </c>
      <c r="AB22" s="377">
        <f>IF(Input!$K$51=1,Beitrag!AB27,Beitrag!AB32)</f>
        <v>1.82</v>
      </c>
      <c r="AC22" s="16">
        <v>0</v>
      </c>
      <c r="AD22" s="16">
        <v>0.06</v>
      </c>
      <c r="AE22" s="16">
        <v>0.12</v>
      </c>
      <c r="AF22" s="16">
        <v>0.18</v>
      </c>
      <c r="AG22" s="16">
        <v>0.24</v>
      </c>
      <c r="AH22" s="16"/>
      <c r="AI22" s="920">
        <v>0.38</v>
      </c>
      <c r="AJ22" s="920">
        <v>0.62</v>
      </c>
      <c r="AK22" s="920">
        <v>0.64</v>
      </c>
      <c r="AL22" s="920">
        <v>0.72</v>
      </c>
      <c r="AM22" s="920">
        <v>0.86</v>
      </c>
      <c r="AN22" s="920">
        <v>0.41000000000000003</v>
      </c>
      <c r="AO22" s="920">
        <v>0.43</v>
      </c>
      <c r="AP22" s="920">
        <v>0.41000000000000003</v>
      </c>
      <c r="AQ22" s="920">
        <v>0.44999999999999996</v>
      </c>
      <c r="AR22" s="20">
        <v>0</v>
      </c>
      <c r="AS22" s="920">
        <v>0.04</v>
      </c>
      <c r="AT22" s="920">
        <v>0.04</v>
      </c>
    </row>
    <row r="23" spans="1:46" s="3" customFormat="1" ht="15" customHeight="1" x14ac:dyDescent="0.25">
      <c r="A23" s="13" t="s">
        <v>997</v>
      </c>
      <c r="B23" s="13">
        <v>5</v>
      </c>
      <c r="C23" s="14">
        <v>18</v>
      </c>
      <c r="D23" s="14">
        <v>18</v>
      </c>
      <c r="E23" s="14">
        <v>18</v>
      </c>
      <c r="F23" s="14">
        <v>20</v>
      </c>
      <c r="G23" s="14">
        <v>25</v>
      </c>
      <c r="H23" s="14">
        <v>19</v>
      </c>
      <c r="I23" s="14">
        <v>20</v>
      </c>
      <c r="J23" s="14">
        <v>12</v>
      </c>
      <c r="K23" s="14">
        <v>13</v>
      </c>
      <c r="L23" s="15">
        <v>0</v>
      </c>
      <c r="M23" s="15">
        <v>0</v>
      </c>
      <c r="N23" s="15">
        <v>0</v>
      </c>
      <c r="O23" s="377">
        <f>IF(Input!$K$51=1,Beitrag!O28,Beitrag!O33)</f>
        <v>0.62</v>
      </c>
      <c r="P23" s="377">
        <f>IF(Input!$K$51=1,Beitrag!P28,Beitrag!P33)</f>
        <v>0.18</v>
      </c>
      <c r="Q23" s="377">
        <f>IF(Input!$K$51=1,Beitrag!Q28,Beitrag!Q33)</f>
        <v>0.28000000000000003</v>
      </c>
      <c r="R23" s="377">
        <f>IF(Input!$K$51=1,Beitrag!R28,Beitrag!R33)</f>
        <v>0.36</v>
      </c>
      <c r="S23" s="377">
        <f>IF(Input!$K$51=1,Beitrag!S28,Beitrag!S33)</f>
        <v>0.46</v>
      </c>
      <c r="T23" s="377">
        <f>IF(Input!$K$51=1,Beitrag!T28,Beitrag!T33)</f>
        <v>0.54</v>
      </c>
      <c r="U23" s="377">
        <f>IF(Input!$K$51=1,Beitrag!U28,Beitrag!U33)</f>
        <v>0.64</v>
      </c>
      <c r="V23" s="377">
        <f>IF(Input!$K$51=1,Beitrag!V28,Beitrag!V33)</f>
        <v>0.72</v>
      </c>
      <c r="W23" s="377">
        <f>IF(Input!$K$51=1,Beitrag!W28,Beitrag!W33)</f>
        <v>0.82</v>
      </c>
      <c r="X23" s="377">
        <f>IF(Input!$K$51=1,Beitrag!X28,Beitrag!X33)</f>
        <v>0.9</v>
      </c>
      <c r="Y23" s="377">
        <f>IF(Input!$K$51=1,Beitrag!Y28,Beitrag!Y33)</f>
        <v>1</v>
      </c>
      <c r="Z23" s="377">
        <f>IF(Input!$K$51=1,Beitrag!Z28,Beitrag!Z33)</f>
        <v>1.08</v>
      </c>
      <c r="AA23" s="377">
        <f>IF(Input!$K$51=1,Beitrag!AA28,Beitrag!AA33)</f>
        <v>1.18</v>
      </c>
      <c r="AB23" s="377">
        <f>IF(Input!$K$51=1,Beitrag!AB28,Beitrag!AB33)</f>
        <v>1.26</v>
      </c>
      <c r="AC23" s="16">
        <v>0</v>
      </c>
      <c r="AD23" s="16">
        <v>0.12</v>
      </c>
      <c r="AE23" s="16">
        <v>0.24</v>
      </c>
      <c r="AF23" s="16">
        <v>0.36</v>
      </c>
      <c r="AG23" s="16">
        <v>0.48</v>
      </c>
      <c r="AH23" s="16"/>
      <c r="AI23" s="920">
        <v>0.62</v>
      </c>
      <c r="AJ23" s="920">
        <v>0.94</v>
      </c>
      <c r="AK23" s="920">
        <v>0.94</v>
      </c>
      <c r="AL23" s="920">
        <v>1</v>
      </c>
      <c r="AM23" s="920">
        <v>1.3</v>
      </c>
      <c r="AN23" s="920">
        <v>0.65</v>
      </c>
      <c r="AO23" s="920">
        <v>0.69</v>
      </c>
      <c r="AP23" s="920">
        <v>0.63</v>
      </c>
      <c r="AQ23" s="920">
        <v>0.67999999999999994</v>
      </c>
      <c r="AR23" s="20">
        <v>0</v>
      </c>
      <c r="AS23" s="920">
        <v>0</v>
      </c>
      <c r="AT23" s="920">
        <v>0</v>
      </c>
    </row>
    <row r="24" spans="1:46" ht="15" customHeight="1" x14ac:dyDescent="0.25">
      <c r="B24" s="83">
        <v>6</v>
      </c>
      <c r="C24" s="3">
        <v>0</v>
      </c>
      <c r="N24" s="376">
        <v>720</v>
      </c>
      <c r="O24" s="377">
        <v>0.28000000000000003</v>
      </c>
      <c r="P24" s="919">
        <v>0.1</v>
      </c>
      <c r="Q24" s="377">
        <v>0.16</v>
      </c>
      <c r="R24" s="377">
        <v>0.2</v>
      </c>
      <c r="S24" s="377">
        <v>0.26</v>
      </c>
      <c r="T24" s="377">
        <v>0.3</v>
      </c>
      <c r="U24" s="377">
        <v>0.36</v>
      </c>
      <c r="V24" s="377">
        <v>0.4</v>
      </c>
      <c r="W24" s="377">
        <v>0.46</v>
      </c>
      <c r="X24" s="377">
        <v>0.5</v>
      </c>
      <c r="Y24" s="377">
        <v>0.56000000000000005</v>
      </c>
      <c r="Z24" s="377">
        <v>0.6</v>
      </c>
      <c r="AA24" s="377">
        <v>0.66</v>
      </c>
      <c r="AB24" s="377">
        <v>0.7</v>
      </c>
      <c r="AC24" s="1">
        <v>0.08</v>
      </c>
      <c r="AD24" s="1">
        <v>0.1</v>
      </c>
      <c r="AE24" s="1">
        <v>0.13</v>
      </c>
      <c r="AF24" s="1">
        <v>0.15</v>
      </c>
      <c r="AG24" s="1">
        <v>0.18</v>
      </c>
      <c r="AH24" s="1">
        <v>0.2</v>
      </c>
      <c r="AI24" s="1">
        <v>0.23</v>
      </c>
      <c r="AJ24" s="1">
        <v>0.25</v>
      </c>
      <c r="AK24" s="1">
        <v>0.28000000000000003</v>
      </c>
      <c r="AL24" s="1">
        <v>0.3</v>
      </c>
      <c r="AM24" s="1">
        <v>0.33</v>
      </c>
      <c r="AN24" s="1">
        <v>0.35</v>
      </c>
    </row>
    <row r="25" spans="1:46" ht="15" customHeight="1" x14ac:dyDescent="0.25">
      <c r="N25" s="375"/>
      <c r="O25" s="377">
        <v>0.52</v>
      </c>
      <c r="P25" s="919">
        <v>0.16</v>
      </c>
      <c r="Q25" s="377">
        <v>0.24</v>
      </c>
      <c r="R25" s="377">
        <v>0.32</v>
      </c>
      <c r="S25" s="377">
        <v>0.4</v>
      </c>
      <c r="T25" s="377">
        <v>0.48</v>
      </c>
      <c r="U25" s="377">
        <v>0.56000000000000005</v>
      </c>
      <c r="V25" s="377">
        <v>0.64</v>
      </c>
      <c r="W25" s="377">
        <v>0.72</v>
      </c>
      <c r="X25" s="377">
        <v>0.8</v>
      </c>
      <c r="Y25" s="377">
        <v>0.88</v>
      </c>
      <c r="Z25" s="377">
        <v>0.96</v>
      </c>
      <c r="AA25" s="377">
        <v>1.04</v>
      </c>
      <c r="AB25" s="377">
        <v>1.1200000000000001</v>
      </c>
      <c r="AC25" s="1">
        <v>0.12</v>
      </c>
      <c r="AD25" s="1">
        <v>0.16</v>
      </c>
      <c r="AE25" s="1">
        <v>0.2</v>
      </c>
      <c r="AF25" s="1">
        <v>0.24</v>
      </c>
      <c r="AG25" s="1">
        <v>0.28000000000000003</v>
      </c>
      <c r="AH25" s="1">
        <v>0.32</v>
      </c>
      <c r="AI25" s="1">
        <v>0.36</v>
      </c>
      <c r="AJ25" s="1">
        <v>0.4</v>
      </c>
      <c r="AK25" s="1">
        <v>0.44</v>
      </c>
      <c r="AL25" s="1">
        <v>0.48</v>
      </c>
      <c r="AM25" s="1">
        <v>0.52</v>
      </c>
      <c r="AN25" s="1">
        <v>0.56000000000000005</v>
      </c>
    </row>
    <row r="26" spans="1:46" ht="15" customHeight="1" x14ac:dyDescent="0.25">
      <c r="B26" s="6">
        <f>Input!J32</f>
        <v>3</v>
      </c>
      <c r="N26" s="375"/>
      <c r="O26" s="377">
        <v>0.64</v>
      </c>
      <c r="P26" s="919">
        <v>0.2</v>
      </c>
      <c r="Q26" s="377">
        <v>0.3</v>
      </c>
      <c r="R26" s="377">
        <v>0.4</v>
      </c>
      <c r="S26" s="377">
        <v>0.5</v>
      </c>
      <c r="T26" s="377">
        <v>0.6</v>
      </c>
      <c r="U26" s="377">
        <v>0.7</v>
      </c>
      <c r="V26" s="377">
        <v>0.8</v>
      </c>
      <c r="W26" s="377">
        <v>0.9</v>
      </c>
      <c r="X26" s="377">
        <v>1</v>
      </c>
      <c r="Y26" s="377">
        <v>1.1000000000000001</v>
      </c>
      <c r="Z26" s="377">
        <v>1.2</v>
      </c>
      <c r="AA26" s="377">
        <v>1.3</v>
      </c>
      <c r="AB26" s="377">
        <v>1.4</v>
      </c>
      <c r="AC26" s="1">
        <v>0.15</v>
      </c>
      <c r="AD26" s="1">
        <v>0.2</v>
      </c>
      <c r="AE26" s="1">
        <v>0.25</v>
      </c>
      <c r="AF26" s="1">
        <v>0.3</v>
      </c>
      <c r="AG26" s="1">
        <v>0.35</v>
      </c>
      <c r="AH26" s="1">
        <v>0.4</v>
      </c>
      <c r="AI26" s="1">
        <v>0.45</v>
      </c>
      <c r="AJ26" s="1">
        <v>0.5</v>
      </c>
      <c r="AK26" s="1">
        <v>0.55000000000000004</v>
      </c>
      <c r="AL26" s="1">
        <v>0.6</v>
      </c>
      <c r="AM26" s="1">
        <v>0.65</v>
      </c>
      <c r="AN26" s="1">
        <v>0.7</v>
      </c>
    </row>
    <row r="27" spans="1:46" ht="15" customHeight="1" x14ac:dyDescent="0.25">
      <c r="B27" s="769" t="s">
        <v>1261</v>
      </c>
      <c r="N27" s="375"/>
      <c r="O27" s="377">
        <v>0.72</v>
      </c>
      <c r="P27" s="919">
        <v>0.26</v>
      </c>
      <c r="Q27" s="377">
        <v>0.4</v>
      </c>
      <c r="R27" s="377">
        <v>0.52</v>
      </c>
      <c r="S27" s="377">
        <v>0.66</v>
      </c>
      <c r="T27" s="377">
        <v>0.78</v>
      </c>
      <c r="U27" s="377">
        <v>0.92</v>
      </c>
      <c r="V27" s="377">
        <v>1.04</v>
      </c>
      <c r="W27" s="377">
        <v>1.18</v>
      </c>
      <c r="X27" s="377">
        <v>1.3</v>
      </c>
      <c r="Y27" s="377">
        <v>1.44</v>
      </c>
      <c r="Z27" s="377">
        <v>1.56</v>
      </c>
      <c r="AA27" s="377">
        <v>1.7</v>
      </c>
      <c r="AB27" s="377">
        <v>1.82</v>
      </c>
      <c r="AC27" s="1">
        <v>0.2</v>
      </c>
      <c r="AD27" s="1">
        <v>0.26</v>
      </c>
      <c r="AE27" s="1">
        <v>0.33</v>
      </c>
      <c r="AF27" s="1">
        <v>0.39</v>
      </c>
      <c r="AG27" s="1">
        <v>0.46</v>
      </c>
      <c r="AH27" s="1">
        <v>0.52</v>
      </c>
      <c r="AI27" s="1">
        <v>0.59</v>
      </c>
      <c r="AJ27" s="1">
        <v>0.65</v>
      </c>
      <c r="AK27" s="1">
        <v>0.72</v>
      </c>
      <c r="AL27" s="1">
        <v>0.78</v>
      </c>
      <c r="AM27" s="1">
        <v>0.85</v>
      </c>
      <c r="AN27" s="1">
        <v>0.91</v>
      </c>
    </row>
    <row r="28" spans="1:46" ht="15" customHeight="1" x14ac:dyDescent="0.25">
      <c r="N28" s="375"/>
      <c r="O28" s="377">
        <v>0.62</v>
      </c>
      <c r="P28" s="919">
        <v>0.18</v>
      </c>
      <c r="Q28" s="377">
        <v>0.28000000000000003</v>
      </c>
      <c r="R28" s="377">
        <v>0.36</v>
      </c>
      <c r="S28" s="377">
        <v>0.46</v>
      </c>
      <c r="T28" s="377">
        <v>0.54</v>
      </c>
      <c r="U28" s="377">
        <v>0.64</v>
      </c>
      <c r="V28" s="377">
        <v>0.72</v>
      </c>
      <c r="W28" s="377">
        <v>0.82</v>
      </c>
      <c r="X28" s="377">
        <v>0.9</v>
      </c>
      <c r="Y28" s="377">
        <v>1</v>
      </c>
      <c r="Z28" s="377">
        <v>1.08</v>
      </c>
      <c r="AA28" s="377">
        <v>1.18</v>
      </c>
      <c r="AB28" s="377">
        <v>1.26</v>
      </c>
      <c r="AC28" s="1">
        <v>0.14000000000000001</v>
      </c>
      <c r="AD28" s="1">
        <v>0.18</v>
      </c>
      <c r="AE28" s="1">
        <v>0.23</v>
      </c>
      <c r="AF28" s="1">
        <v>0.27</v>
      </c>
      <c r="AG28" s="1">
        <v>0.32</v>
      </c>
      <c r="AH28" s="1">
        <v>0.36</v>
      </c>
      <c r="AI28" s="1">
        <v>0.41</v>
      </c>
      <c r="AJ28" s="1">
        <v>0.45</v>
      </c>
      <c r="AK28" s="1">
        <v>0.5</v>
      </c>
      <c r="AL28" s="1">
        <v>0.54</v>
      </c>
      <c r="AM28" s="1">
        <v>0.59</v>
      </c>
      <c r="AN28" s="1">
        <v>0.63</v>
      </c>
    </row>
    <row r="29" spans="1:46" ht="15" customHeight="1" x14ac:dyDescent="0.25">
      <c r="N29" s="376">
        <v>360</v>
      </c>
      <c r="O29" s="377">
        <v>0.32</v>
      </c>
      <c r="P29" s="919">
        <v>0.12</v>
      </c>
      <c r="Q29" s="377">
        <v>0.18</v>
      </c>
      <c r="R29" s="377">
        <v>0.24</v>
      </c>
      <c r="S29" s="377">
        <v>0.3</v>
      </c>
      <c r="T29" s="377">
        <v>0.36</v>
      </c>
      <c r="U29" s="377">
        <v>0.42</v>
      </c>
      <c r="V29" s="377">
        <v>0.48</v>
      </c>
      <c r="W29" s="377">
        <v>0.54</v>
      </c>
      <c r="X29" s="377">
        <v>0.6</v>
      </c>
      <c r="Y29" s="377">
        <v>0.66</v>
      </c>
      <c r="Z29" s="377">
        <v>0.72</v>
      </c>
      <c r="AA29" s="377">
        <v>0.78</v>
      </c>
      <c r="AB29" s="377">
        <v>0.84</v>
      </c>
      <c r="AC29" s="1">
        <v>0.09</v>
      </c>
      <c r="AD29" s="1">
        <v>0.12</v>
      </c>
      <c r="AE29" s="1">
        <v>0.15</v>
      </c>
      <c r="AF29" s="1">
        <v>0.18</v>
      </c>
      <c r="AG29" s="1">
        <v>0.21</v>
      </c>
      <c r="AH29" s="1">
        <v>0.24</v>
      </c>
      <c r="AI29" s="1">
        <v>0.27</v>
      </c>
      <c r="AJ29" s="1">
        <v>0.3</v>
      </c>
      <c r="AK29" s="1">
        <v>0.33</v>
      </c>
      <c r="AL29" s="1">
        <v>0.36</v>
      </c>
      <c r="AM29" s="1">
        <v>0.39</v>
      </c>
      <c r="AN29" s="1">
        <v>0.42</v>
      </c>
    </row>
    <row r="30" spans="1:46" ht="15" customHeight="1" x14ac:dyDescent="0.25">
      <c r="N30" s="376"/>
      <c r="O30" s="377">
        <v>0.57999999999999996</v>
      </c>
      <c r="P30" s="919">
        <v>0.18</v>
      </c>
      <c r="Q30" s="377">
        <v>0.28000000000000003</v>
      </c>
      <c r="R30" s="377">
        <v>0.36</v>
      </c>
      <c r="S30" s="377">
        <v>0.46</v>
      </c>
      <c r="T30" s="377">
        <v>0.54</v>
      </c>
      <c r="U30" s="377">
        <v>0.64</v>
      </c>
      <c r="V30" s="377">
        <v>0.72</v>
      </c>
      <c r="W30" s="377">
        <v>0.82</v>
      </c>
      <c r="X30" s="377">
        <v>0.9</v>
      </c>
      <c r="Y30" s="377">
        <v>1</v>
      </c>
      <c r="Z30" s="377">
        <v>1.08</v>
      </c>
      <c r="AA30" s="377">
        <v>1.18</v>
      </c>
      <c r="AB30" s="377">
        <v>1.26</v>
      </c>
      <c r="AC30" s="1">
        <v>0.14000000000000001</v>
      </c>
      <c r="AD30" s="1">
        <v>0.18</v>
      </c>
      <c r="AE30" s="1">
        <v>0.23</v>
      </c>
      <c r="AF30" s="1">
        <v>0.27</v>
      </c>
      <c r="AG30" s="1">
        <v>0.32</v>
      </c>
      <c r="AH30" s="1">
        <v>0.36</v>
      </c>
      <c r="AI30" s="1">
        <v>0.41</v>
      </c>
      <c r="AJ30" s="1">
        <v>0.45</v>
      </c>
      <c r="AK30" s="1">
        <v>0.5</v>
      </c>
      <c r="AL30" s="1">
        <v>0.54</v>
      </c>
      <c r="AM30" s="1">
        <v>0.59</v>
      </c>
      <c r="AN30" s="1">
        <v>0.63</v>
      </c>
    </row>
    <row r="31" spans="1:46" ht="15" customHeight="1" x14ac:dyDescent="0.25">
      <c r="N31" s="376"/>
      <c r="O31" s="377">
        <v>0.7</v>
      </c>
      <c r="P31" s="919">
        <v>0.22</v>
      </c>
      <c r="Q31" s="377">
        <v>0.34</v>
      </c>
      <c r="R31" s="377">
        <v>0.44</v>
      </c>
      <c r="S31" s="377">
        <v>0.56000000000000005</v>
      </c>
      <c r="T31" s="377">
        <v>0.66</v>
      </c>
      <c r="U31" s="377">
        <v>0.78</v>
      </c>
      <c r="V31" s="377">
        <v>0.88</v>
      </c>
      <c r="W31" s="377">
        <v>1</v>
      </c>
      <c r="X31" s="377">
        <v>1.1000000000000001</v>
      </c>
      <c r="Y31" s="377">
        <v>1.22</v>
      </c>
      <c r="Z31" s="377">
        <v>1.32</v>
      </c>
      <c r="AA31" s="377">
        <v>1.44</v>
      </c>
      <c r="AB31" s="377">
        <v>1.54</v>
      </c>
      <c r="AC31" s="1">
        <v>0.17</v>
      </c>
      <c r="AD31" s="1">
        <v>0.22</v>
      </c>
      <c r="AE31" s="1">
        <v>0.28000000000000003</v>
      </c>
      <c r="AF31" s="1">
        <v>0.33</v>
      </c>
      <c r="AG31" s="1">
        <v>0.39</v>
      </c>
      <c r="AH31" s="1">
        <v>0.44</v>
      </c>
      <c r="AI31" s="1">
        <v>0.5</v>
      </c>
      <c r="AJ31" s="1">
        <v>0.55000000000000004</v>
      </c>
      <c r="AK31" s="1">
        <v>0.61</v>
      </c>
      <c r="AL31" s="1">
        <v>0.66</v>
      </c>
      <c r="AM31" s="1">
        <v>0.72</v>
      </c>
      <c r="AN31" s="1">
        <v>0.77</v>
      </c>
    </row>
    <row r="32" spans="1:46" ht="15" customHeight="1" x14ac:dyDescent="0.25">
      <c r="N32" s="376"/>
      <c r="O32" s="377">
        <v>0.8</v>
      </c>
      <c r="P32" s="919">
        <v>0.3</v>
      </c>
      <c r="Q32" s="377">
        <v>0.46</v>
      </c>
      <c r="R32" s="377">
        <v>0.6</v>
      </c>
      <c r="S32" s="377">
        <v>0.76</v>
      </c>
      <c r="T32" s="377">
        <v>0.9</v>
      </c>
      <c r="U32" s="377">
        <v>1.06</v>
      </c>
      <c r="V32" s="377">
        <v>1.2</v>
      </c>
      <c r="W32" s="377">
        <v>1.36</v>
      </c>
      <c r="X32" s="377">
        <v>1.5</v>
      </c>
      <c r="Y32" s="377">
        <v>1.66</v>
      </c>
      <c r="Z32" s="377">
        <v>1.8</v>
      </c>
      <c r="AA32" s="377">
        <v>1.96</v>
      </c>
      <c r="AB32" s="377">
        <v>2.1</v>
      </c>
      <c r="AC32" s="1">
        <v>0.23</v>
      </c>
      <c r="AD32" s="1">
        <v>0.3</v>
      </c>
      <c r="AE32" s="1">
        <v>0.38</v>
      </c>
      <c r="AF32" s="1">
        <v>0.45</v>
      </c>
      <c r="AG32" s="1">
        <v>0.53</v>
      </c>
      <c r="AH32" s="1">
        <v>0.6</v>
      </c>
      <c r="AI32" s="1">
        <v>0.68</v>
      </c>
      <c r="AJ32" s="1">
        <v>0.75</v>
      </c>
      <c r="AK32" s="1">
        <v>0.83</v>
      </c>
      <c r="AL32" s="1">
        <v>0.9</v>
      </c>
      <c r="AM32" s="1">
        <v>0.98</v>
      </c>
      <c r="AN32" s="1">
        <v>1.05</v>
      </c>
    </row>
    <row r="33" spans="1:47" ht="15" customHeight="1" x14ac:dyDescent="0.25">
      <c r="N33" s="376"/>
      <c r="O33" s="377">
        <v>0.7</v>
      </c>
      <c r="P33" s="919">
        <v>0.2</v>
      </c>
      <c r="Q33" s="377">
        <v>0.3</v>
      </c>
      <c r="R33" s="377">
        <v>0.4</v>
      </c>
      <c r="S33" s="377">
        <v>0.5</v>
      </c>
      <c r="T33" s="377">
        <v>0.6</v>
      </c>
      <c r="U33" s="377">
        <v>0.7</v>
      </c>
      <c r="V33" s="377">
        <v>0.8</v>
      </c>
      <c r="W33" s="377">
        <v>0.9</v>
      </c>
      <c r="X33" s="377">
        <v>1</v>
      </c>
      <c r="Y33" s="377">
        <v>1.1000000000000001</v>
      </c>
      <c r="Z33" s="377">
        <v>1.2</v>
      </c>
      <c r="AA33" s="377">
        <v>1.3</v>
      </c>
      <c r="AB33" s="377">
        <v>1.4</v>
      </c>
      <c r="AC33" s="1">
        <v>0.15</v>
      </c>
      <c r="AD33" s="1">
        <v>0.2</v>
      </c>
      <c r="AE33" s="1">
        <v>0.25</v>
      </c>
      <c r="AF33" s="1">
        <v>0.3</v>
      </c>
      <c r="AG33" s="1">
        <v>0.35</v>
      </c>
      <c r="AH33" s="1">
        <v>0.4</v>
      </c>
      <c r="AI33" s="1">
        <v>0.45</v>
      </c>
      <c r="AJ33" s="1">
        <v>0.5</v>
      </c>
      <c r="AK33" s="1">
        <v>0.55000000000000004</v>
      </c>
      <c r="AL33" s="1">
        <v>0.6</v>
      </c>
      <c r="AM33" s="1">
        <v>0.65</v>
      </c>
      <c r="AN33" s="1">
        <v>0.7</v>
      </c>
    </row>
    <row r="34" spans="1:47" ht="15" customHeight="1" x14ac:dyDescent="0.25">
      <c r="Y34" s="1">
        <v>1.5</v>
      </c>
      <c r="Z34" s="1">
        <v>2</v>
      </c>
      <c r="AA34" s="1">
        <v>2.5</v>
      </c>
      <c r="AB34" s="1">
        <v>3</v>
      </c>
      <c r="AC34" s="1">
        <v>3.5</v>
      </c>
      <c r="AD34" s="1">
        <v>4</v>
      </c>
      <c r="AE34" s="1">
        <v>4.5</v>
      </c>
      <c r="AF34" s="1">
        <v>5</v>
      </c>
      <c r="AG34" s="1">
        <v>5.5</v>
      </c>
      <c r="AH34" s="1">
        <v>6</v>
      </c>
      <c r="AI34" s="1">
        <v>6.5</v>
      </c>
      <c r="AJ34" s="1">
        <v>7</v>
      </c>
    </row>
    <row r="36" spans="1:47" ht="15" customHeight="1" x14ac:dyDescent="0.25">
      <c r="A36" s="1132" t="s">
        <v>2183</v>
      </c>
    </row>
    <row r="37" spans="1:47" ht="15" customHeight="1" x14ac:dyDescent="0.25">
      <c r="A37" s="45" t="s">
        <v>2184</v>
      </c>
    </row>
    <row r="38" spans="1:47" ht="15" customHeight="1" x14ac:dyDescent="0.25">
      <c r="A38" s="17">
        <v>211</v>
      </c>
      <c r="B38" s="1135">
        <f>IF(AND(Input!K9=2,Input!K15=3,Beitrag!B4&lt;Beitrag!Q5),0,IF(B4&lt;R5,0,IF(B4-Q14&gt;Q7,Q7,IF(B4-Q14&lt;Q3,Q3,B4-Q14))))</f>
        <v>62475</v>
      </c>
      <c r="U38" s="1">
        <v>0.92</v>
      </c>
      <c r="AE38" s="1">
        <f>AE22</f>
        <v>0.12</v>
      </c>
      <c r="AM38" s="1336">
        <f>AM22</f>
        <v>0.86</v>
      </c>
      <c r="AS38" s="1336">
        <f>AS22</f>
        <v>0.04</v>
      </c>
      <c r="AU38" s="1336">
        <f>U38+AE38+AM38+AS38</f>
        <v>1.94</v>
      </c>
    </row>
    <row r="39" spans="1:47" ht="15" customHeight="1" x14ac:dyDescent="0.25">
      <c r="A39" s="17">
        <v>212</v>
      </c>
      <c r="B39" s="1135">
        <f>IF(AND(Input!K9=2,Input!K15=3,Beitrag!B4&lt;Beitrag!Q5),0,IF(B4&lt;R5,0,IF(B4-Q14&gt;Q9,Q9,IF(B4-Q14&lt;Q3,Q3,B4-Q14))))</f>
        <v>89710</v>
      </c>
    </row>
    <row r="40" spans="1:47" ht="15" customHeight="1" x14ac:dyDescent="0.25">
      <c r="A40" s="17">
        <v>213</v>
      </c>
      <c r="B40" s="1135">
        <f>IF(AND(Input!K9=2,Input!K15=3,Beitrag!B4&lt;Beitrag!Q5),0,IF(B4&lt;R5,0,IF(B4-Q14&gt;Q11,Q11,IF(B4-Q14&lt;Q3,Q3,B4-Q14))))</f>
        <v>89710</v>
      </c>
    </row>
    <row r="41" spans="1:47" ht="15" customHeight="1" x14ac:dyDescent="0.25">
      <c r="A41" s="17">
        <v>214</v>
      </c>
      <c r="B41" s="1135">
        <f>IF(AND(Input!K9=2,Input!K15=3,Beitrag!B4&lt;Beitrag!Q5),0,IF(B4&lt;R5,0,IF(B4-Q14&gt;Q2,Q2,IF(B4-Q14&lt;Q3,Q3,B4-Q14))))</f>
        <v>89710</v>
      </c>
    </row>
    <row r="42" spans="1:47" ht="15" customHeight="1" x14ac:dyDescent="0.25">
      <c r="A42" s="17">
        <v>215</v>
      </c>
      <c r="B42" s="1135">
        <f>IF(AND(Input!K9=2,Input!K15=3,Beitrag!B4&lt;Beitrag!Q5),0,IF(B4&lt;R5,0,IF(B4-Q14&gt;Q8,Q8,IF(B4-Q14&lt;Q3,Q3,B4-Q14))))</f>
        <v>88200</v>
      </c>
    </row>
    <row r="43" spans="1:47" ht="15" customHeight="1" x14ac:dyDescent="0.25">
      <c r="A43" s="17">
        <v>216</v>
      </c>
      <c r="B43" s="1135">
        <f>IF(AND(Input!K9=2,Input!K15=3,Beitrag!B4&lt;Beitrag!Q5),0,IF(B4&lt;R5,0,IF(B4-Q14&gt;Q2-Q6,Q2-Q6,IF(B4-Q14&lt;Q3,Q3,B4-Q14))))</f>
        <v>89710</v>
      </c>
    </row>
    <row r="44" spans="1:47" ht="15" customHeight="1" x14ac:dyDescent="0.25">
      <c r="A44" s="17">
        <v>217</v>
      </c>
      <c r="B44" s="1135">
        <f>IF(AND(Input!K9=2,Input!K15=3,Beitrag!B4&lt;Beitrag!Q5),0,IF(B4&lt;R5,0,IF(B4-Q14&gt;Q9*2,Q9*2,IF(B4-Q14&lt;Q3,Q3,B4-Q14))))</f>
        <v>89710</v>
      </c>
    </row>
    <row r="45" spans="1:47" ht="15" customHeight="1" x14ac:dyDescent="0.25">
      <c r="A45" s="17">
        <v>221</v>
      </c>
      <c r="B45" s="1135">
        <f>C7</f>
        <v>62475</v>
      </c>
    </row>
    <row r="46" spans="1:47" ht="15" customHeight="1" x14ac:dyDescent="0.25">
      <c r="A46" s="17">
        <v>222</v>
      </c>
      <c r="B46" s="1135">
        <f>D7</f>
        <v>89710</v>
      </c>
    </row>
    <row r="47" spans="1:47" ht="15" customHeight="1" x14ac:dyDescent="0.25">
      <c r="A47" s="17">
        <v>223</v>
      </c>
      <c r="B47" s="1135">
        <f>E7</f>
        <v>89710</v>
      </c>
    </row>
    <row r="48" spans="1:47" ht="15" customHeight="1" x14ac:dyDescent="0.25">
      <c r="A48" s="17">
        <v>224</v>
      </c>
      <c r="B48" s="1135">
        <f>F7</f>
        <v>89710</v>
      </c>
    </row>
    <row r="49" spans="1:2" ht="15" customHeight="1" x14ac:dyDescent="0.25">
      <c r="A49" s="17">
        <v>225</v>
      </c>
      <c r="B49" s="1135">
        <f>G7</f>
        <v>88200</v>
      </c>
    </row>
    <row r="50" spans="1:2" ht="15" customHeight="1" x14ac:dyDescent="0.25">
      <c r="A50" s="17">
        <v>226</v>
      </c>
      <c r="B50" s="1135">
        <f>H7</f>
        <v>89710</v>
      </c>
    </row>
    <row r="51" spans="1:2" ht="15" customHeight="1" x14ac:dyDescent="0.25">
      <c r="A51" s="17">
        <v>227</v>
      </c>
      <c r="B51" s="1135">
        <f>I7</f>
        <v>89710</v>
      </c>
    </row>
    <row r="52" spans="1:2" ht="15" customHeight="1" x14ac:dyDescent="0.25">
      <c r="A52" s="17">
        <v>231</v>
      </c>
      <c r="B52" s="17">
        <f>IF(B4&lt;Q5,0,IF(B4-Q14&gt;Q7,Q7,B4-Q14))</f>
        <v>62475</v>
      </c>
    </row>
    <row r="53" spans="1:2" ht="15" customHeight="1" x14ac:dyDescent="0.25">
      <c r="A53" s="17">
        <v>232</v>
      </c>
      <c r="B53" s="17">
        <f>IF(B4&lt;Q5,0,IF(B4-Q14&gt;Q9,Q9,B4-Q14))</f>
        <v>89710</v>
      </c>
    </row>
    <row r="54" spans="1:2" ht="15" customHeight="1" x14ac:dyDescent="0.25">
      <c r="A54" s="17">
        <v>233</v>
      </c>
      <c r="B54" s="17">
        <f>IF(B4&lt;Q5,0,IF(B4-Q14&gt;Q11,Q11,B4-Q14))</f>
        <v>89710</v>
      </c>
    </row>
    <row r="55" spans="1:2" ht="15" customHeight="1" x14ac:dyDescent="0.25">
      <c r="A55" s="17">
        <v>234</v>
      </c>
      <c r="B55" s="17">
        <f>IF(B4&lt;Q5,0,IF(B4-Q14&gt;Q2,Q2,B4-Q14))</f>
        <v>89710</v>
      </c>
    </row>
    <row r="56" spans="1:2" ht="15" customHeight="1" x14ac:dyDescent="0.25">
      <c r="A56" s="17">
        <v>235</v>
      </c>
      <c r="B56" s="17">
        <f>IF(B4&lt;Q5,0,IF(B4-Q14&gt;Q8,Q8,B4-Q14))</f>
        <v>88200</v>
      </c>
    </row>
    <row r="57" spans="1:2" ht="15" customHeight="1" x14ac:dyDescent="0.25">
      <c r="A57" s="17">
        <v>236</v>
      </c>
      <c r="B57" s="17">
        <f>IF(B4&lt;Q5,0,IF(B4-Q14&gt;Q2-Q6,Q2-Q6,B4-Q14))</f>
        <v>89710</v>
      </c>
    </row>
    <row r="58" spans="1:2" ht="15" customHeight="1" x14ac:dyDescent="0.25">
      <c r="A58" s="17">
        <v>237</v>
      </c>
      <c r="B58" s="17">
        <f>IF(B4&lt;Q5,0,IF(B4-Q14&gt;Q9*2,Q9*2,B4-Q14))</f>
        <v>89710</v>
      </c>
    </row>
    <row r="59" spans="1:2" ht="15" customHeight="1" x14ac:dyDescent="0.25">
      <c r="A59" s="17">
        <v>553</v>
      </c>
      <c r="B59" s="1135">
        <f>E10</f>
        <v>87137.5</v>
      </c>
    </row>
    <row r="71" spans="1:16" ht="15" customHeight="1" thickBot="1" x14ac:dyDescent="0.3">
      <c r="A71" s="82" t="s">
        <v>1269</v>
      </c>
      <c r="O71" s="82" t="s">
        <v>2092</v>
      </c>
    </row>
    <row r="72" spans="1:16" ht="15" customHeight="1" thickBot="1" x14ac:dyDescent="0.3">
      <c r="B72" s="790" t="s">
        <v>1270</v>
      </c>
      <c r="C72" s="785" t="s">
        <v>1271</v>
      </c>
      <c r="D72" s="786" t="s">
        <v>1272</v>
      </c>
      <c r="E72" s="2"/>
      <c r="J72" s="837" t="s">
        <v>1271</v>
      </c>
      <c r="K72" s="838"/>
    </row>
    <row r="73" spans="1:16" ht="15" customHeight="1" thickBot="1" x14ac:dyDescent="0.3">
      <c r="A73" s="784">
        <v>2010</v>
      </c>
      <c r="B73" s="836">
        <v>1.4999999999999999E-2</v>
      </c>
      <c r="C73" s="803" t="str">
        <f>IF(A73&lt;J73,"",VLOOKUP(A73,J$73:K$74,2))</f>
        <v/>
      </c>
      <c r="D73" s="804">
        <f>IF(C73="",B73,C73)</f>
        <v>1.4999999999999999E-2</v>
      </c>
      <c r="E73" s="2"/>
      <c r="F73" s="781"/>
      <c r="H73" s="7"/>
      <c r="J73" s="839">
        <f>Input!J15</f>
        <v>2024</v>
      </c>
      <c r="K73" s="840" t="str">
        <f>IF(Input!G53="","",Input!G53)</f>
        <v/>
      </c>
      <c r="O73" s="836">
        <v>0.01</v>
      </c>
      <c r="P73" s="1">
        <v>2017</v>
      </c>
    </row>
    <row r="74" spans="1:16" ht="15" customHeight="1" thickBot="1" x14ac:dyDescent="0.3">
      <c r="A74" s="784">
        <v>2011</v>
      </c>
      <c r="B74" s="802">
        <f>B73</f>
        <v>1.4999999999999999E-2</v>
      </c>
      <c r="C74" s="803" t="str">
        <f>IF(A74&gt;J$74,C73,IF(A74&lt;J$73,"",VLOOKUP(A74,J$73:K$74,2)))</f>
        <v/>
      </c>
      <c r="D74" s="804">
        <f t="shared" ref="D74:D137" si="2">IF(C74="",B74,C74)</f>
        <v>1.4999999999999999E-2</v>
      </c>
      <c r="E74" s="2"/>
      <c r="J74" s="841">
        <f>J73+1</f>
        <v>2025</v>
      </c>
      <c r="K74" s="842" t="str">
        <f>IF(Input!G54="","",Input!G54)</f>
        <v/>
      </c>
    </row>
    <row r="75" spans="1:16" ht="15" customHeight="1" x14ac:dyDescent="0.25">
      <c r="A75" s="784">
        <v>2012</v>
      </c>
      <c r="B75" s="802">
        <f t="shared" ref="B75:B138" si="3">B74</f>
        <v>1.4999999999999999E-2</v>
      </c>
      <c r="C75" s="803" t="str">
        <f t="shared" ref="C75:C138" si="4">IF(A75&gt;J$74,C74,IF(A75&lt;J$73,"",VLOOKUP(A75,J$73:K$74,2)))</f>
        <v/>
      </c>
      <c r="D75" s="804">
        <f t="shared" si="2"/>
        <v>1.4999999999999999E-2</v>
      </c>
      <c r="E75" s="2"/>
      <c r="J75" s="524"/>
      <c r="K75" s="803"/>
    </row>
    <row r="76" spans="1:16" ht="15" customHeight="1" thickBot="1" x14ac:dyDescent="0.3">
      <c r="A76" s="784">
        <v>2013</v>
      </c>
      <c r="B76" s="802">
        <f t="shared" si="3"/>
        <v>1.4999999999999999E-2</v>
      </c>
      <c r="C76" s="803" t="str">
        <f t="shared" si="4"/>
        <v/>
      </c>
      <c r="D76" s="804">
        <f t="shared" si="2"/>
        <v>1.4999999999999999E-2</v>
      </c>
      <c r="E76" s="2"/>
    </row>
    <row r="77" spans="1:16" ht="15" customHeight="1" thickBot="1" x14ac:dyDescent="0.3">
      <c r="A77" s="784">
        <v>2014</v>
      </c>
      <c r="B77" s="836">
        <v>1.7500000000000002E-2</v>
      </c>
      <c r="C77" s="803" t="str">
        <f t="shared" si="4"/>
        <v/>
      </c>
      <c r="D77" s="804">
        <f t="shared" si="2"/>
        <v>1.7500000000000002E-2</v>
      </c>
      <c r="E77" s="2"/>
    </row>
    <row r="78" spans="1:16" ht="15" customHeight="1" thickBot="1" x14ac:dyDescent="0.3">
      <c r="A78" s="784">
        <v>2015</v>
      </c>
      <c r="B78" s="836">
        <v>1.7500000000000002E-2</v>
      </c>
      <c r="C78" s="803" t="str">
        <f t="shared" si="4"/>
        <v/>
      </c>
      <c r="D78" s="804">
        <f t="shared" si="2"/>
        <v>1.7500000000000002E-2</v>
      </c>
      <c r="E78" s="2"/>
    </row>
    <row r="79" spans="1:16" ht="15" customHeight="1" thickBot="1" x14ac:dyDescent="0.3">
      <c r="A79" s="784">
        <v>2016</v>
      </c>
      <c r="B79" s="836">
        <v>1.2500000000000001E-2</v>
      </c>
      <c r="C79" s="803" t="str">
        <f t="shared" si="4"/>
        <v/>
      </c>
      <c r="D79" s="804">
        <f t="shared" si="2"/>
        <v>1.2500000000000001E-2</v>
      </c>
      <c r="E79" s="2"/>
      <c r="F79" s="17"/>
    </row>
    <row r="80" spans="1:16" ht="15" customHeight="1" thickBot="1" x14ac:dyDescent="0.3">
      <c r="A80" s="784">
        <v>2017</v>
      </c>
      <c r="B80" s="836">
        <v>2.5000000000000001E-2</v>
      </c>
      <c r="C80" s="803" t="str">
        <f t="shared" si="4"/>
        <v/>
      </c>
      <c r="D80" s="804">
        <f t="shared" si="2"/>
        <v>2.5000000000000001E-2</v>
      </c>
      <c r="E80" s="2"/>
    </row>
    <row r="81" spans="1:5" ht="15" customHeight="1" x14ac:dyDescent="0.25">
      <c r="A81" s="784">
        <v>2018</v>
      </c>
      <c r="B81" s="802">
        <v>1.4999999999999999E-2</v>
      </c>
      <c r="C81" s="803" t="str">
        <f t="shared" si="4"/>
        <v/>
      </c>
      <c r="D81" s="804">
        <f t="shared" si="2"/>
        <v>1.4999999999999999E-2</v>
      </c>
      <c r="E81" s="2"/>
    </row>
    <row r="82" spans="1:5" ht="15" customHeight="1" x14ac:dyDescent="0.25">
      <c r="A82" s="784">
        <v>2019</v>
      </c>
      <c r="B82" s="802">
        <v>2.5000000000000001E-2</v>
      </c>
      <c r="C82" s="803" t="str">
        <f t="shared" si="4"/>
        <v/>
      </c>
      <c r="D82" s="804">
        <f t="shared" si="2"/>
        <v>2.5000000000000001E-2</v>
      </c>
      <c r="E82" s="2"/>
    </row>
    <row r="83" spans="1:5" ht="15" customHeight="1" x14ac:dyDescent="0.25">
      <c r="A83" s="784">
        <v>2020</v>
      </c>
      <c r="B83" s="802">
        <v>0.02</v>
      </c>
      <c r="C83" s="803" t="str">
        <f t="shared" si="4"/>
        <v/>
      </c>
      <c r="D83" s="804">
        <f t="shared" si="2"/>
        <v>0.02</v>
      </c>
      <c r="E83" s="2"/>
    </row>
    <row r="84" spans="1:5" ht="15" customHeight="1" x14ac:dyDescent="0.25">
      <c r="A84" s="784">
        <v>2021</v>
      </c>
      <c r="B84" s="802">
        <v>0.05</v>
      </c>
      <c r="C84" s="803" t="str">
        <f t="shared" si="4"/>
        <v/>
      </c>
      <c r="D84" s="804">
        <f t="shared" si="2"/>
        <v>0.05</v>
      </c>
      <c r="E84" s="2"/>
    </row>
    <row r="85" spans="1:5" ht="15" customHeight="1" x14ac:dyDescent="0.25">
      <c r="A85" s="784">
        <v>2022</v>
      </c>
      <c r="B85" s="802">
        <v>1.7500000000000002E-2</v>
      </c>
      <c r="C85" s="803" t="str">
        <f t="shared" si="4"/>
        <v/>
      </c>
      <c r="D85" s="804">
        <f t="shared" si="2"/>
        <v>1.7500000000000002E-2</v>
      </c>
      <c r="E85" s="2"/>
    </row>
    <row r="86" spans="1:5" ht="15" customHeight="1" x14ac:dyDescent="0.25">
      <c r="A86" s="784">
        <v>2023</v>
      </c>
      <c r="B86" s="802">
        <v>0.01</v>
      </c>
      <c r="C86" s="803" t="str">
        <f t="shared" si="4"/>
        <v/>
      </c>
      <c r="D86" s="804">
        <f t="shared" si="2"/>
        <v>0.01</v>
      </c>
      <c r="E86" s="2"/>
    </row>
    <row r="87" spans="1:5" ht="15" customHeight="1" x14ac:dyDescent="0.25">
      <c r="A87" s="784">
        <v>2024</v>
      </c>
      <c r="B87" s="802">
        <v>0.02</v>
      </c>
      <c r="C87" s="803" t="str">
        <f t="shared" si="4"/>
        <v/>
      </c>
      <c r="D87" s="804">
        <f t="shared" si="2"/>
        <v>0.02</v>
      </c>
      <c r="E87" s="2"/>
    </row>
    <row r="88" spans="1:5" ht="15" customHeight="1" x14ac:dyDescent="0.25">
      <c r="A88" s="784">
        <v>2025</v>
      </c>
      <c r="B88" s="802">
        <f t="shared" si="3"/>
        <v>0.02</v>
      </c>
      <c r="C88" s="803" t="str">
        <f t="shared" si="4"/>
        <v/>
      </c>
      <c r="D88" s="804">
        <f t="shared" si="2"/>
        <v>0.02</v>
      </c>
      <c r="E88" s="2"/>
    </row>
    <row r="89" spans="1:5" ht="15" customHeight="1" x14ac:dyDescent="0.25">
      <c r="A89" s="784">
        <v>2026</v>
      </c>
      <c r="B89" s="802">
        <f t="shared" si="3"/>
        <v>0.02</v>
      </c>
      <c r="C89" s="803" t="str">
        <f t="shared" si="4"/>
        <v/>
      </c>
      <c r="D89" s="804">
        <f t="shared" si="2"/>
        <v>0.02</v>
      </c>
      <c r="E89" s="2"/>
    </row>
    <row r="90" spans="1:5" ht="15" customHeight="1" x14ac:dyDescent="0.25">
      <c r="A90" s="784">
        <v>2027</v>
      </c>
      <c r="B90" s="802">
        <f t="shared" si="3"/>
        <v>0.02</v>
      </c>
      <c r="C90" s="803" t="str">
        <f t="shared" si="4"/>
        <v/>
      </c>
      <c r="D90" s="804">
        <f t="shared" si="2"/>
        <v>0.02</v>
      </c>
      <c r="E90" s="2"/>
    </row>
    <row r="91" spans="1:5" ht="15" customHeight="1" x14ac:dyDescent="0.25">
      <c r="A91" s="784">
        <v>2028</v>
      </c>
      <c r="B91" s="802">
        <f t="shared" si="3"/>
        <v>0.02</v>
      </c>
      <c r="C91" s="803" t="str">
        <f t="shared" si="4"/>
        <v/>
      </c>
      <c r="D91" s="804">
        <f t="shared" si="2"/>
        <v>0.02</v>
      </c>
      <c r="E91" s="2"/>
    </row>
    <row r="92" spans="1:5" ht="15" customHeight="1" x14ac:dyDescent="0.25">
      <c r="A92" s="784">
        <v>2029</v>
      </c>
      <c r="B92" s="802">
        <f t="shared" si="3"/>
        <v>0.02</v>
      </c>
      <c r="C92" s="803" t="str">
        <f t="shared" si="4"/>
        <v/>
      </c>
      <c r="D92" s="804">
        <f t="shared" si="2"/>
        <v>0.02</v>
      </c>
      <c r="E92" s="2"/>
    </row>
    <row r="93" spans="1:5" ht="15" customHeight="1" x14ac:dyDescent="0.25">
      <c r="A93" s="784">
        <v>2030</v>
      </c>
      <c r="B93" s="802">
        <f t="shared" si="3"/>
        <v>0.02</v>
      </c>
      <c r="C93" s="803" t="str">
        <f t="shared" si="4"/>
        <v/>
      </c>
      <c r="D93" s="804">
        <f t="shared" si="2"/>
        <v>0.02</v>
      </c>
      <c r="E93" s="2"/>
    </row>
    <row r="94" spans="1:5" ht="15" customHeight="1" x14ac:dyDescent="0.25">
      <c r="A94" s="784">
        <v>2031</v>
      </c>
      <c r="B94" s="802">
        <f t="shared" si="3"/>
        <v>0.02</v>
      </c>
      <c r="C94" s="803" t="str">
        <f t="shared" si="4"/>
        <v/>
      </c>
      <c r="D94" s="804">
        <f t="shared" si="2"/>
        <v>0.02</v>
      </c>
      <c r="E94" s="2"/>
    </row>
    <row r="95" spans="1:5" ht="15" customHeight="1" x14ac:dyDescent="0.25">
      <c r="A95" s="784">
        <v>2032</v>
      </c>
      <c r="B95" s="802">
        <f t="shared" si="3"/>
        <v>0.02</v>
      </c>
      <c r="C95" s="803" t="str">
        <f t="shared" si="4"/>
        <v/>
      </c>
      <c r="D95" s="804">
        <f t="shared" si="2"/>
        <v>0.02</v>
      </c>
      <c r="E95" s="2"/>
    </row>
    <row r="96" spans="1:5" ht="15" customHeight="1" x14ac:dyDescent="0.25">
      <c r="A96" s="784">
        <v>2033</v>
      </c>
      <c r="B96" s="802">
        <f t="shared" si="3"/>
        <v>0.02</v>
      </c>
      <c r="C96" s="803" t="str">
        <f t="shared" si="4"/>
        <v/>
      </c>
      <c r="D96" s="804">
        <f t="shared" si="2"/>
        <v>0.02</v>
      </c>
      <c r="E96" s="2"/>
    </row>
    <row r="97" spans="1:5" ht="15" customHeight="1" x14ac:dyDescent="0.25">
      <c r="A97" s="784">
        <v>2034</v>
      </c>
      <c r="B97" s="802">
        <f t="shared" si="3"/>
        <v>0.02</v>
      </c>
      <c r="C97" s="803" t="str">
        <f t="shared" si="4"/>
        <v/>
      </c>
      <c r="D97" s="804">
        <f t="shared" si="2"/>
        <v>0.02</v>
      </c>
      <c r="E97" s="2"/>
    </row>
    <row r="98" spans="1:5" ht="15" customHeight="1" x14ac:dyDescent="0.25">
      <c r="A98" s="784">
        <v>2035</v>
      </c>
      <c r="B98" s="802">
        <f t="shared" si="3"/>
        <v>0.02</v>
      </c>
      <c r="C98" s="803" t="str">
        <f t="shared" si="4"/>
        <v/>
      </c>
      <c r="D98" s="804">
        <f t="shared" si="2"/>
        <v>0.02</v>
      </c>
      <c r="E98" s="2"/>
    </row>
    <row r="99" spans="1:5" ht="15" customHeight="1" x14ac:dyDescent="0.25">
      <c r="A99" s="784">
        <v>2036</v>
      </c>
      <c r="B99" s="802">
        <f t="shared" si="3"/>
        <v>0.02</v>
      </c>
      <c r="C99" s="803" t="str">
        <f t="shared" si="4"/>
        <v/>
      </c>
      <c r="D99" s="804">
        <f t="shared" si="2"/>
        <v>0.02</v>
      </c>
      <c r="E99" s="2"/>
    </row>
    <row r="100" spans="1:5" ht="15" customHeight="1" x14ac:dyDescent="0.25">
      <c r="A100" s="784">
        <v>2037</v>
      </c>
      <c r="B100" s="802">
        <f t="shared" si="3"/>
        <v>0.02</v>
      </c>
      <c r="C100" s="803" t="str">
        <f t="shared" si="4"/>
        <v/>
      </c>
      <c r="D100" s="804">
        <f t="shared" si="2"/>
        <v>0.02</v>
      </c>
      <c r="E100" s="2"/>
    </row>
    <row r="101" spans="1:5" ht="15" customHeight="1" x14ac:dyDescent="0.25">
      <c r="A101" s="784">
        <v>2038</v>
      </c>
      <c r="B101" s="802">
        <f t="shared" si="3"/>
        <v>0.02</v>
      </c>
      <c r="C101" s="803" t="str">
        <f t="shared" si="4"/>
        <v/>
      </c>
      <c r="D101" s="804">
        <f t="shared" si="2"/>
        <v>0.02</v>
      </c>
      <c r="E101" s="2"/>
    </row>
    <row r="102" spans="1:5" ht="15" customHeight="1" x14ac:dyDescent="0.25">
      <c r="A102" s="784">
        <v>2039</v>
      </c>
      <c r="B102" s="802">
        <f t="shared" si="3"/>
        <v>0.02</v>
      </c>
      <c r="C102" s="803" t="str">
        <f t="shared" si="4"/>
        <v/>
      </c>
      <c r="D102" s="804">
        <f t="shared" si="2"/>
        <v>0.02</v>
      </c>
      <c r="E102" s="2"/>
    </row>
    <row r="103" spans="1:5" ht="15" customHeight="1" x14ac:dyDescent="0.25">
      <c r="A103" s="784">
        <v>2040</v>
      </c>
      <c r="B103" s="802">
        <f t="shared" si="3"/>
        <v>0.02</v>
      </c>
      <c r="C103" s="803" t="str">
        <f t="shared" si="4"/>
        <v/>
      </c>
      <c r="D103" s="804">
        <f t="shared" si="2"/>
        <v>0.02</v>
      </c>
      <c r="E103" s="2"/>
    </row>
    <row r="104" spans="1:5" ht="15" customHeight="1" x14ac:dyDescent="0.25">
      <c r="A104" s="784">
        <v>2041</v>
      </c>
      <c r="B104" s="802">
        <f t="shared" si="3"/>
        <v>0.02</v>
      </c>
      <c r="C104" s="803" t="str">
        <f t="shared" si="4"/>
        <v/>
      </c>
      <c r="D104" s="804">
        <f t="shared" si="2"/>
        <v>0.02</v>
      </c>
      <c r="E104" s="2"/>
    </row>
    <row r="105" spans="1:5" ht="15" customHeight="1" x14ac:dyDescent="0.25">
      <c r="A105" s="784">
        <v>2042</v>
      </c>
      <c r="B105" s="802">
        <f t="shared" si="3"/>
        <v>0.02</v>
      </c>
      <c r="C105" s="803" t="str">
        <f t="shared" si="4"/>
        <v/>
      </c>
      <c r="D105" s="804">
        <f t="shared" si="2"/>
        <v>0.02</v>
      </c>
      <c r="E105" s="2"/>
    </row>
    <row r="106" spans="1:5" ht="15" customHeight="1" x14ac:dyDescent="0.25">
      <c r="A106" s="784">
        <v>2043</v>
      </c>
      <c r="B106" s="802">
        <f t="shared" si="3"/>
        <v>0.02</v>
      </c>
      <c r="C106" s="803" t="str">
        <f t="shared" si="4"/>
        <v/>
      </c>
      <c r="D106" s="804">
        <f t="shared" si="2"/>
        <v>0.02</v>
      </c>
      <c r="E106" s="2"/>
    </row>
    <row r="107" spans="1:5" ht="15" customHeight="1" x14ac:dyDescent="0.25">
      <c r="A107" s="784">
        <v>2044</v>
      </c>
      <c r="B107" s="802">
        <f t="shared" si="3"/>
        <v>0.02</v>
      </c>
      <c r="C107" s="803" t="str">
        <f t="shared" si="4"/>
        <v/>
      </c>
      <c r="D107" s="804">
        <f t="shared" si="2"/>
        <v>0.02</v>
      </c>
      <c r="E107" s="2"/>
    </row>
    <row r="108" spans="1:5" ht="15" customHeight="1" x14ac:dyDescent="0.25">
      <c r="A108" s="784">
        <v>2045</v>
      </c>
      <c r="B108" s="802">
        <f t="shared" si="3"/>
        <v>0.02</v>
      </c>
      <c r="C108" s="803" t="str">
        <f t="shared" si="4"/>
        <v/>
      </c>
      <c r="D108" s="804">
        <f t="shared" si="2"/>
        <v>0.02</v>
      </c>
      <c r="E108" s="2"/>
    </row>
    <row r="109" spans="1:5" ht="15" customHeight="1" x14ac:dyDescent="0.25">
      <c r="A109" s="784">
        <v>2046</v>
      </c>
      <c r="B109" s="802">
        <f t="shared" si="3"/>
        <v>0.02</v>
      </c>
      <c r="C109" s="803" t="str">
        <f t="shared" si="4"/>
        <v/>
      </c>
      <c r="D109" s="804">
        <f t="shared" si="2"/>
        <v>0.02</v>
      </c>
      <c r="E109" s="2"/>
    </row>
    <row r="110" spans="1:5" ht="15" customHeight="1" x14ac:dyDescent="0.25">
      <c r="A110" s="784">
        <v>2047</v>
      </c>
      <c r="B110" s="802">
        <f t="shared" si="3"/>
        <v>0.02</v>
      </c>
      <c r="C110" s="803" t="str">
        <f t="shared" si="4"/>
        <v/>
      </c>
      <c r="D110" s="804">
        <f t="shared" si="2"/>
        <v>0.02</v>
      </c>
      <c r="E110" s="2"/>
    </row>
    <row r="111" spans="1:5" ht="15" customHeight="1" x14ac:dyDescent="0.25">
      <c r="A111" s="784">
        <v>2048</v>
      </c>
      <c r="B111" s="802">
        <f t="shared" si="3"/>
        <v>0.02</v>
      </c>
      <c r="C111" s="803" t="str">
        <f t="shared" si="4"/>
        <v/>
      </c>
      <c r="D111" s="804">
        <f t="shared" si="2"/>
        <v>0.02</v>
      </c>
      <c r="E111" s="2"/>
    </row>
    <row r="112" spans="1:5" ht="15" customHeight="1" x14ac:dyDescent="0.25">
      <c r="A112" s="784">
        <v>2049</v>
      </c>
      <c r="B112" s="802">
        <f t="shared" si="3"/>
        <v>0.02</v>
      </c>
      <c r="C112" s="803" t="str">
        <f t="shared" si="4"/>
        <v/>
      </c>
      <c r="D112" s="804">
        <f t="shared" si="2"/>
        <v>0.02</v>
      </c>
      <c r="E112" s="2"/>
    </row>
    <row r="113" spans="1:5" ht="15" customHeight="1" x14ac:dyDescent="0.25">
      <c r="A113" s="784">
        <v>2050</v>
      </c>
      <c r="B113" s="802">
        <f t="shared" si="3"/>
        <v>0.02</v>
      </c>
      <c r="C113" s="803" t="str">
        <f t="shared" si="4"/>
        <v/>
      </c>
      <c r="D113" s="804">
        <f t="shared" si="2"/>
        <v>0.02</v>
      </c>
      <c r="E113" s="2"/>
    </row>
    <row r="114" spans="1:5" ht="15" customHeight="1" x14ac:dyDescent="0.25">
      <c r="A114" s="784">
        <v>2051</v>
      </c>
      <c r="B114" s="802">
        <f t="shared" si="3"/>
        <v>0.02</v>
      </c>
      <c r="C114" s="803" t="str">
        <f t="shared" si="4"/>
        <v/>
      </c>
      <c r="D114" s="804">
        <f t="shared" si="2"/>
        <v>0.02</v>
      </c>
      <c r="E114" s="2"/>
    </row>
    <row r="115" spans="1:5" ht="15" customHeight="1" x14ac:dyDescent="0.25">
      <c r="A115" s="784">
        <v>2052</v>
      </c>
      <c r="B115" s="802">
        <f t="shared" si="3"/>
        <v>0.02</v>
      </c>
      <c r="C115" s="803" t="str">
        <f t="shared" si="4"/>
        <v/>
      </c>
      <c r="D115" s="804">
        <f t="shared" si="2"/>
        <v>0.02</v>
      </c>
      <c r="E115" s="2"/>
    </row>
    <row r="116" spans="1:5" ht="15" customHeight="1" x14ac:dyDescent="0.25">
      <c r="A116" s="784">
        <v>2053</v>
      </c>
      <c r="B116" s="802">
        <f t="shared" si="3"/>
        <v>0.02</v>
      </c>
      <c r="C116" s="803" t="str">
        <f t="shared" si="4"/>
        <v/>
      </c>
      <c r="D116" s="804">
        <f t="shared" si="2"/>
        <v>0.02</v>
      </c>
      <c r="E116" s="2"/>
    </row>
    <row r="117" spans="1:5" ht="15" customHeight="1" x14ac:dyDescent="0.25">
      <c r="A117" s="784">
        <v>2054</v>
      </c>
      <c r="B117" s="802">
        <f t="shared" si="3"/>
        <v>0.02</v>
      </c>
      <c r="C117" s="803" t="str">
        <f t="shared" si="4"/>
        <v/>
      </c>
      <c r="D117" s="804">
        <f t="shared" si="2"/>
        <v>0.02</v>
      </c>
      <c r="E117" s="2"/>
    </row>
    <row r="118" spans="1:5" ht="15" customHeight="1" x14ac:dyDescent="0.25">
      <c r="A118" s="784">
        <v>2055</v>
      </c>
      <c r="B118" s="802">
        <f t="shared" si="3"/>
        <v>0.02</v>
      </c>
      <c r="C118" s="803" t="str">
        <f t="shared" si="4"/>
        <v/>
      </c>
      <c r="D118" s="804">
        <f t="shared" si="2"/>
        <v>0.02</v>
      </c>
      <c r="E118" s="2"/>
    </row>
    <row r="119" spans="1:5" ht="15" customHeight="1" x14ac:dyDescent="0.25">
      <c r="A119" s="784">
        <v>2056</v>
      </c>
      <c r="B119" s="802">
        <f t="shared" si="3"/>
        <v>0.02</v>
      </c>
      <c r="C119" s="803" t="str">
        <f t="shared" si="4"/>
        <v/>
      </c>
      <c r="D119" s="804">
        <f t="shared" si="2"/>
        <v>0.02</v>
      </c>
      <c r="E119" s="2"/>
    </row>
    <row r="120" spans="1:5" ht="15" customHeight="1" x14ac:dyDescent="0.25">
      <c r="A120" s="784">
        <v>2057</v>
      </c>
      <c r="B120" s="802">
        <f t="shared" si="3"/>
        <v>0.02</v>
      </c>
      <c r="C120" s="803" t="str">
        <f t="shared" si="4"/>
        <v/>
      </c>
      <c r="D120" s="804">
        <f t="shared" si="2"/>
        <v>0.02</v>
      </c>
      <c r="E120" s="2"/>
    </row>
    <row r="121" spans="1:5" ht="15" customHeight="1" x14ac:dyDescent="0.25">
      <c r="A121" s="784">
        <v>2058</v>
      </c>
      <c r="B121" s="802">
        <f t="shared" si="3"/>
        <v>0.02</v>
      </c>
      <c r="C121" s="803" t="str">
        <f t="shared" si="4"/>
        <v/>
      </c>
      <c r="D121" s="804">
        <f t="shared" si="2"/>
        <v>0.02</v>
      </c>
      <c r="E121" s="2"/>
    </row>
    <row r="122" spans="1:5" ht="15" customHeight="1" x14ac:dyDescent="0.25">
      <c r="A122" s="784">
        <v>2059</v>
      </c>
      <c r="B122" s="802">
        <f t="shared" si="3"/>
        <v>0.02</v>
      </c>
      <c r="C122" s="803" t="str">
        <f t="shared" si="4"/>
        <v/>
      </c>
      <c r="D122" s="804">
        <f t="shared" si="2"/>
        <v>0.02</v>
      </c>
      <c r="E122" s="2"/>
    </row>
    <row r="123" spans="1:5" ht="15" customHeight="1" x14ac:dyDescent="0.25">
      <c r="A123" s="784">
        <v>2060</v>
      </c>
      <c r="B123" s="802">
        <f t="shared" si="3"/>
        <v>0.02</v>
      </c>
      <c r="C123" s="803" t="str">
        <f t="shared" si="4"/>
        <v/>
      </c>
      <c r="D123" s="804">
        <f t="shared" si="2"/>
        <v>0.02</v>
      </c>
      <c r="E123" s="2"/>
    </row>
    <row r="124" spans="1:5" ht="15" customHeight="1" x14ac:dyDescent="0.25">
      <c r="A124" s="784">
        <v>2061</v>
      </c>
      <c r="B124" s="802">
        <f t="shared" si="3"/>
        <v>0.02</v>
      </c>
      <c r="C124" s="803" t="str">
        <f t="shared" si="4"/>
        <v/>
      </c>
      <c r="D124" s="804">
        <f t="shared" si="2"/>
        <v>0.02</v>
      </c>
      <c r="E124" s="2"/>
    </row>
    <row r="125" spans="1:5" ht="15" customHeight="1" x14ac:dyDescent="0.25">
      <c r="A125" s="784">
        <v>2062</v>
      </c>
      <c r="B125" s="802">
        <f t="shared" si="3"/>
        <v>0.02</v>
      </c>
      <c r="C125" s="803" t="str">
        <f t="shared" si="4"/>
        <v/>
      </c>
      <c r="D125" s="804">
        <f t="shared" si="2"/>
        <v>0.02</v>
      </c>
      <c r="E125" s="2"/>
    </row>
    <row r="126" spans="1:5" ht="15" customHeight="1" x14ac:dyDescent="0.25">
      <c r="A126" s="784">
        <v>2063</v>
      </c>
      <c r="B126" s="802">
        <f t="shared" si="3"/>
        <v>0.02</v>
      </c>
      <c r="C126" s="803" t="str">
        <f t="shared" si="4"/>
        <v/>
      </c>
      <c r="D126" s="804">
        <f t="shared" si="2"/>
        <v>0.02</v>
      </c>
      <c r="E126" s="2"/>
    </row>
    <row r="127" spans="1:5" ht="15" customHeight="1" x14ac:dyDescent="0.25">
      <c r="A127" s="784">
        <v>2064</v>
      </c>
      <c r="B127" s="802">
        <f t="shared" si="3"/>
        <v>0.02</v>
      </c>
      <c r="C127" s="803" t="str">
        <f t="shared" si="4"/>
        <v/>
      </c>
      <c r="D127" s="804">
        <f t="shared" si="2"/>
        <v>0.02</v>
      </c>
      <c r="E127" s="2"/>
    </row>
    <row r="128" spans="1:5" ht="15" customHeight="1" x14ac:dyDescent="0.25">
      <c r="A128" s="784">
        <v>2065</v>
      </c>
      <c r="B128" s="802">
        <f t="shared" si="3"/>
        <v>0.02</v>
      </c>
      <c r="C128" s="803" t="str">
        <f t="shared" si="4"/>
        <v/>
      </c>
      <c r="D128" s="804">
        <f t="shared" si="2"/>
        <v>0.02</v>
      </c>
      <c r="E128" s="2"/>
    </row>
    <row r="129" spans="1:5" ht="15" customHeight="1" x14ac:dyDescent="0.25">
      <c r="A129" s="784">
        <v>2066</v>
      </c>
      <c r="B129" s="802">
        <f t="shared" si="3"/>
        <v>0.02</v>
      </c>
      <c r="C129" s="803" t="str">
        <f t="shared" si="4"/>
        <v/>
      </c>
      <c r="D129" s="804">
        <f t="shared" si="2"/>
        <v>0.02</v>
      </c>
      <c r="E129" s="2"/>
    </row>
    <row r="130" spans="1:5" ht="15" customHeight="1" x14ac:dyDescent="0.25">
      <c r="A130" s="784">
        <v>2067</v>
      </c>
      <c r="B130" s="802">
        <f t="shared" si="3"/>
        <v>0.02</v>
      </c>
      <c r="C130" s="803" t="str">
        <f t="shared" si="4"/>
        <v/>
      </c>
      <c r="D130" s="804">
        <f t="shared" si="2"/>
        <v>0.02</v>
      </c>
      <c r="E130" s="2"/>
    </row>
    <row r="131" spans="1:5" ht="15" customHeight="1" x14ac:dyDescent="0.25">
      <c r="A131" s="784">
        <v>2068</v>
      </c>
      <c r="B131" s="802">
        <f t="shared" si="3"/>
        <v>0.02</v>
      </c>
      <c r="C131" s="803" t="str">
        <f t="shared" si="4"/>
        <v/>
      </c>
      <c r="D131" s="804">
        <f t="shared" si="2"/>
        <v>0.02</v>
      </c>
      <c r="E131" s="2"/>
    </row>
    <row r="132" spans="1:5" ht="15" customHeight="1" x14ac:dyDescent="0.25">
      <c r="A132" s="784">
        <v>2069</v>
      </c>
      <c r="B132" s="802">
        <f t="shared" si="3"/>
        <v>0.02</v>
      </c>
      <c r="C132" s="803" t="str">
        <f t="shared" si="4"/>
        <v/>
      </c>
      <c r="D132" s="804">
        <f t="shared" si="2"/>
        <v>0.02</v>
      </c>
      <c r="E132" s="2"/>
    </row>
    <row r="133" spans="1:5" ht="15" customHeight="1" x14ac:dyDescent="0.25">
      <c r="A133" s="784">
        <v>2070</v>
      </c>
      <c r="B133" s="802">
        <f t="shared" si="3"/>
        <v>0.02</v>
      </c>
      <c r="C133" s="803" t="str">
        <f t="shared" si="4"/>
        <v/>
      </c>
      <c r="D133" s="804">
        <f t="shared" si="2"/>
        <v>0.02</v>
      </c>
      <c r="E133" s="2"/>
    </row>
    <row r="134" spans="1:5" ht="15" customHeight="1" x14ac:dyDescent="0.25">
      <c r="A134" s="784">
        <v>2071</v>
      </c>
      <c r="B134" s="802">
        <f t="shared" si="3"/>
        <v>0.02</v>
      </c>
      <c r="C134" s="803" t="str">
        <f t="shared" si="4"/>
        <v/>
      </c>
      <c r="D134" s="804">
        <f t="shared" si="2"/>
        <v>0.02</v>
      </c>
      <c r="E134" s="2"/>
    </row>
    <row r="135" spans="1:5" ht="15" customHeight="1" x14ac:dyDescent="0.25">
      <c r="A135" s="784">
        <v>2072</v>
      </c>
      <c r="B135" s="802">
        <f t="shared" si="3"/>
        <v>0.02</v>
      </c>
      <c r="C135" s="803" t="str">
        <f t="shared" si="4"/>
        <v/>
      </c>
      <c r="D135" s="804">
        <f t="shared" si="2"/>
        <v>0.02</v>
      </c>
      <c r="E135" s="2"/>
    </row>
    <row r="136" spans="1:5" ht="15" customHeight="1" x14ac:dyDescent="0.25">
      <c r="A136" s="784">
        <v>2073</v>
      </c>
      <c r="B136" s="802">
        <f t="shared" si="3"/>
        <v>0.02</v>
      </c>
      <c r="C136" s="803" t="str">
        <f t="shared" si="4"/>
        <v/>
      </c>
      <c r="D136" s="804">
        <f t="shared" si="2"/>
        <v>0.02</v>
      </c>
      <c r="E136" s="2"/>
    </row>
    <row r="137" spans="1:5" ht="15" customHeight="1" x14ac:dyDescent="0.25">
      <c r="A137" s="784">
        <v>2074</v>
      </c>
      <c r="B137" s="802">
        <f t="shared" si="3"/>
        <v>0.02</v>
      </c>
      <c r="C137" s="803" t="str">
        <f t="shared" si="4"/>
        <v/>
      </c>
      <c r="D137" s="804">
        <f t="shared" si="2"/>
        <v>0.02</v>
      </c>
      <c r="E137" s="2"/>
    </row>
    <row r="138" spans="1:5" ht="15" customHeight="1" x14ac:dyDescent="0.25">
      <c r="A138" s="784">
        <v>2075</v>
      </c>
      <c r="B138" s="802">
        <f t="shared" si="3"/>
        <v>0.02</v>
      </c>
      <c r="C138" s="803" t="str">
        <f t="shared" si="4"/>
        <v/>
      </c>
      <c r="D138" s="804">
        <f t="shared" ref="D138:D163" si="5">IF(C138="",B138,C138)</f>
        <v>0.02</v>
      </c>
      <c r="E138" s="2"/>
    </row>
    <row r="139" spans="1:5" ht="15" customHeight="1" x14ac:dyDescent="0.25">
      <c r="A139" s="784">
        <v>2076</v>
      </c>
      <c r="B139" s="802">
        <f t="shared" ref="B139:B163" si="6">B138</f>
        <v>0.02</v>
      </c>
      <c r="C139" s="803" t="str">
        <f t="shared" ref="C139:C163" si="7">IF(A139&gt;J$74,C138,IF(A139&lt;J$73,"",VLOOKUP(A139,J$73:K$74,2)))</f>
        <v/>
      </c>
      <c r="D139" s="804">
        <f t="shared" si="5"/>
        <v>0.02</v>
      </c>
      <c r="E139" s="2"/>
    </row>
    <row r="140" spans="1:5" ht="15" customHeight="1" x14ac:dyDescent="0.25">
      <c r="A140" s="784">
        <v>2077</v>
      </c>
      <c r="B140" s="802">
        <f t="shared" si="6"/>
        <v>0.02</v>
      </c>
      <c r="C140" s="803" t="str">
        <f t="shared" si="7"/>
        <v/>
      </c>
      <c r="D140" s="804">
        <f t="shared" si="5"/>
        <v>0.02</v>
      </c>
      <c r="E140" s="2"/>
    </row>
    <row r="141" spans="1:5" ht="15" customHeight="1" x14ac:dyDescent="0.25">
      <c r="A141" s="784">
        <v>2078</v>
      </c>
      <c r="B141" s="802">
        <f t="shared" si="6"/>
        <v>0.02</v>
      </c>
      <c r="C141" s="803" t="str">
        <f t="shared" si="7"/>
        <v/>
      </c>
      <c r="D141" s="804">
        <f t="shared" si="5"/>
        <v>0.02</v>
      </c>
      <c r="E141" s="2"/>
    </row>
    <row r="142" spans="1:5" ht="15" customHeight="1" x14ac:dyDescent="0.25">
      <c r="A142" s="784">
        <v>2079</v>
      </c>
      <c r="B142" s="802">
        <f t="shared" si="6"/>
        <v>0.02</v>
      </c>
      <c r="C142" s="803" t="str">
        <f t="shared" si="7"/>
        <v/>
      </c>
      <c r="D142" s="804">
        <f t="shared" si="5"/>
        <v>0.02</v>
      </c>
      <c r="E142" s="2"/>
    </row>
    <row r="143" spans="1:5" ht="15" customHeight="1" x14ac:dyDescent="0.25">
      <c r="A143" s="784">
        <v>2080</v>
      </c>
      <c r="B143" s="802">
        <f t="shared" si="6"/>
        <v>0.02</v>
      </c>
      <c r="C143" s="803" t="str">
        <f t="shared" si="7"/>
        <v/>
      </c>
      <c r="D143" s="804">
        <f t="shared" si="5"/>
        <v>0.02</v>
      </c>
      <c r="E143" s="2"/>
    </row>
    <row r="144" spans="1:5" ht="15" customHeight="1" x14ac:dyDescent="0.25">
      <c r="A144" s="784">
        <v>2081</v>
      </c>
      <c r="B144" s="802">
        <f t="shared" si="6"/>
        <v>0.02</v>
      </c>
      <c r="C144" s="803" t="str">
        <f t="shared" si="7"/>
        <v/>
      </c>
      <c r="D144" s="804">
        <f t="shared" si="5"/>
        <v>0.02</v>
      </c>
      <c r="E144" s="2"/>
    </row>
    <row r="145" spans="1:5" ht="15" customHeight="1" x14ac:dyDescent="0.25">
      <c r="A145" s="784">
        <v>2082</v>
      </c>
      <c r="B145" s="802">
        <f t="shared" si="6"/>
        <v>0.02</v>
      </c>
      <c r="C145" s="803" t="str">
        <f t="shared" si="7"/>
        <v/>
      </c>
      <c r="D145" s="804">
        <f t="shared" si="5"/>
        <v>0.02</v>
      </c>
      <c r="E145" s="2"/>
    </row>
    <row r="146" spans="1:5" ht="15" customHeight="1" x14ac:dyDescent="0.25">
      <c r="A146" s="784">
        <v>2083</v>
      </c>
      <c r="B146" s="802">
        <f t="shared" si="6"/>
        <v>0.02</v>
      </c>
      <c r="C146" s="803" t="str">
        <f t="shared" si="7"/>
        <v/>
      </c>
      <c r="D146" s="804">
        <f t="shared" si="5"/>
        <v>0.02</v>
      </c>
      <c r="E146" s="2"/>
    </row>
    <row r="147" spans="1:5" ht="15" customHeight="1" x14ac:dyDescent="0.25">
      <c r="A147" s="784">
        <v>2084</v>
      </c>
      <c r="B147" s="802">
        <f t="shared" si="6"/>
        <v>0.02</v>
      </c>
      <c r="C147" s="803" t="str">
        <f t="shared" si="7"/>
        <v/>
      </c>
      <c r="D147" s="804">
        <f t="shared" si="5"/>
        <v>0.02</v>
      </c>
      <c r="E147" s="2"/>
    </row>
    <row r="148" spans="1:5" ht="15" customHeight="1" x14ac:dyDescent="0.25">
      <c r="A148" s="784">
        <v>2085</v>
      </c>
      <c r="B148" s="802">
        <f t="shared" si="6"/>
        <v>0.02</v>
      </c>
      <c r="C148" s="803" t="str">
        <f t="shared" si="7"/>
        <v/>
      </c>
      <c r="D148" s="804">
        <f t="shared" si="5"/>
        <v>0.02</v>
      </c>
      <c r="E148" s="2"/>
    </row>
    <row r="149" spans="1:5" ht="15" customHeight="1" x14ac:dyDescent="0.25">
      <c r="A149" s="784">
        <v>2086</v>
      </c>
      <c r="B149" s="802">
        <f t="shared" si="6"/>
        <v>0.02</v>
      </c>
      <c r="C149" s="803" t="str">
        <f t="shared" si="7"/>
        <v/>
      </c>
      <c r="D149" s="804">
        <f t="shared" si="5"/>
        <v>0.02</v>
      </c>
      <c r="E149" s="2"/>
    </row>
    <row r="150" spans="1:5" ht="15" customHeight="1" x14ac:dyDescent="0.25">
      <c r="A150" s="784">
        <v>2087</v>
      </c>
      <c r="B150" s="802">
        <f t="shared" si="6"/>
        <v>0.02</v>
      </c>
      <c r="C150" s="803" t="str">
        <f t="shared" si="7"/>
        <v/>
      </c>
      <c r="D150" s="804">
        <f t="shared" si="5"/>
        <v>0.02</v>
      </c>
      <c r="E150" s="2"/>
    </row>
    <row r="151" spans="1:5" ht="15" customHeight="1" x14ac:dyDescent="0.25">
      <c r="A151" s="784">
        <v>2088</v>
      </c>
      <c r="B151" s="802">
        <f t="shared" si="6"/>
        <v>0.02</v>
      </c>
      <c r="C151" s="803" t="str">
        <f t="shared" si="7"/>
        <v/>
      </c>
      <c r="D151" s="804">
        <f t="shared" si="5"/>
        <v>0.02</v>
      </c>
      <c r="E151" s="2"/>
    </row>
    <row r="152" spans="1:5" ht="15" customHeight="1" x14ac:dyDescent="0.25">
      <c r="A152" s="784">
        <v>2089</v>
      </c>
      <c r="B152" s="802">
        <f t="shared" si="6"/>
        <v>0.02</v>
      </c>
      <c r="C152" s="803" t="str">
        <f t="shared" si="7"/>
        <v/>
      </c>
      <c r="D152" s="804">
        <f t="shared" si="5"/>
        <v>0.02</v>
      </c>
      <c r="E152" s="2"/>
    </row>
    <row r="153" spans="1:5" ht="15" customHeight="1" x14ac:dyDescent="0.25">
      <c r="A153" s="784">
        <v>2090</v>
      </c>
      <c r="B153" s="802">
        <f t="shared" si="6"/>
        <v>0.02</v>
      </c>
      <c r="C153" s="803" t="str">
        <f t="shared" si="7"/>
        <v/>
      </c>
      <c r="D153" s="804">
        <f t="shared" si="5"/>
        <v>0.02</v>
      </c>
      <c r="E153" s="2"/>
    </row>
    <row r="154" spans="1:5" ht="15" customHeight="1" x14ac:dyDescent="0.25">
      <c r="A154" s="784">
        <v>2091</v>
      </c>
      <c r="B154" s="802">
        <f t="shared" si="6"/>
        <v>0.02</v>
      </c>
      <c r="C154" s="803" t="str">
        <f t="shared" si="7"/>
        <v/>
      </c>
      <c r="D154" s="804">
        <f t="shared" si="5"/>
        <v>0.02</v>
      </c>
      <c r="E154" s="2"/>
    </row>
    <row r="155" spans="1:5" ht="15" customHeight="1" x14ac:dyDescent="0.25">
      <c r="A155" s="784">
        <v>2092</v>
      </c>
      <c r="B155" s="802">
        <f t="shared" si="6"/>
        <v>0.02</v>
      </c>
      <c r="C155" s="803" t="str">
        <f t="shared" si="7"/>
        <v/>
      </c>
      <c r="D155" s="804">
        <f t="shared" si="5"/>
        <v>0.02</v>
      </c>
      <c r="E155" s="2"/>
    </row>
    <row r="156" spans="1:5" ht="15" customHeight="1" x14ac:dyDescent="0.25">
      <c r="A156" s="784">
        <v>2093</v>
      </c>
      <c r="B156" s="802">
        <f t="shared" si="6"/>
        <v>0.02</v>
      </c>
      <c r="C156" s="803" t="str">
        <f t="shared" si="7"/>
        <v/>
      </c>
      <c r="D156" s="804">
        <f t="shared" si="5"/>
        <v>0.02</v>
      </c>
      <c r="E156" s="2"/>
    </row>
    <row r="157" spans="1:5" ht="15" customHeight="1" x14ac:dyDescent="0.25">
      <c r="A157" s="784">
        <v>2094</v>
      </c>
      <c r="B157" s="802">
        <f t="shared" si="6"/>
        <v>0.02</v>
      </c>
      <c r="C157" s="803" t="str">
        <f t="shared" si="7"/>
        <v/>
      </c>
      <c r="D157" s="804">
        <f t="shared" si="5"/>
        <v>0.02</v>
      </c>
      <c r="E157" s="2"/>
    </row>
    <row r="158" spans="1:5" ht="15" customHeight="1" x14ac:dyDescent="0.25">
      <c r="A158" s="784">
        <v>2095</v>
      </c>
      <c r="B158" s="802">
        <f t="shared" si="6"/>
        <v>0.02</v>
      </c>
      <c r="C158" s="803" t="str">
        <f t="shared" si="7"/>
        <v/>
      </c>
      <c r="D158" s="804">
        <f t="shared" si="5"/>
        <v>0.02</v>
      </c>
      <c r="E158" s="2"/>
    </row>
    <row r="159" spans="1:5" ht="15" customHeight="1" x14ac:dyDescent="0.25">
      <c r="A159" s="784">
        <v>2096</v>
      </c>
      <c r="B159" s="802">
        <f t="shared" si="6"/>
        <v>0.02</v>
      </c>
      <c r="C159" s="803" t="str">
        <f t="shared" si="7"/>
        <v/>
      </c>
      <c r="D159" s="804">
        <f t="shared" si="5"/>
        <v>0.02</v>
      </c>
      <c r="E159" s="2"/>
    </row>
    <row r="160" spans="1:5" ht="15" customHeight="1" x14ac:dyDescent="0.25">
      <c r="A160" s="784">
        <v>2097</v>
      </c>
      <c r="B160" s="802">
        <f t="shared" si="6"/>
        <v>0.02</v>
      </c>
      <c r="C160" s="803" t="str">
        <f t="shared" si="7"/>
        <v/>
      </c>
      <c r="D160" s="804">
        <f t="shared" si="5"/>
        <v>0.02</v>
      </c>
      <c r="E160" s="2"/>
    </row>
    <row r="161" spans="1:5" ht="15" customHeight="1" x14ac:dyDescent="0.25">
      <c r="A161" s="784">
        <v>2098</v>
      </c>
      <c r="B161" s="802">
        <f t="shared" si="6"/>
        <v>0.02</v>
      </c>
      <c r="C161" s="803" t="str">
        <f t="shared" si="7"/>
        <v/>
      </c>
      <c r="D161" s="804">
        <f t="shared" si="5"/>
        <v>0.02</v>
      </c>
      <c r="E161" s="2"/>
    </row>
    <row r="162" spans="1:5" ht="15" customHeight="1" x14ac:dyDescent="0.25">
      <c r="A162" s="784">
        <v>2099</v>
      </c>
      <c r="B162" s="802">
        <f t="shared" si="6"/>
        <v>0.02</v>
      </c>
      <c r="C162" s="803" t="str">
        <f t="shared" si="7"/>
        <v/>
      </c>
      <c r="D162" s="804">
        <f t="shared" si="5"/>
        <v>0.02</v>
      </c>
      <c r="E162" s="2"/>
    </row>
    <row r="163" spans="1:5" ht="15" customHeight="1" x14ac:dyDescent="0.25">
      <c r="A163" s="784">
        <v>2100</v>
      </c>
      <c r="B163" s="802">
        <f t="shared" si="6"/>
        <v>0.02</v>
      </c>
      <c r="C163" s="803" t="str">
        <f t="shared" si="7"/>
        <v/>
      </c>
      <c r="D163" s="804">
        <f t="shared" si="5"/>
        <v>0.02</v>
      </c>
      <c r="E163" s="2"/>
    </row>
    <row r="164" spans="1:5" ht="15" customHeight="1" x14ac:dyDescent="0.25">
      <c r="A164" s="784"/>
    </row>
    <row r="165" spans="1:5" ht="15" customHeight="1" x14ac:dyDescent="0.25">
      <c r="A165" s="784"/>
    </row>
    <row r="166" spans="1:5" ht="15" customHeight="1" x14ac:dyDescent="0.25">
      <c r="A166" s="784"/>
    </row>
    <row r="167" spans="1:5" ht="15" customHeight="1" x14ac:dyDescent="0.25">
      <c r="A167" s="784"/>
    </row>
    <row r="168" spans="1:5" ht="15" customHeight="1" x14ac:dyDescent="0.25">
      <c r="A168" s="784"/>
    </row>
    <row r="169" spans="1:5" ht="15" customHeight="1" x14ac:dyDescent="0.25">
      <c r="A169" s="784"/>
    </row>
    <row r="170" spans="1:5" ht="15" customHeight="1" x14ac:dyDescent="0.25">
      <c r="A170" s="784"/>
    </row>
    <row r="171" spans="1:5" ht="15" customHeight="1" x14ac:dyDescent="0.25">
      <c r="A171" s="784"/>
    </row>
    <row r="172" spans="1:5" ht="15" customHeight="1" x14ac:dyDescent="0.25">
      <c r="A172" s="784"/>
    </row>
    <row r="173" spans="1:5" ht="15" customHeight="1" x14ac:dyDescent="0.25">
      <c r="A173" s="784"/>
    </row>
    <row r="174" spans="1:5" ht="15" customHeight="1" x14ac:dyDescent="0.25">
      <c r="A174" s="784"/>
    </row>
    <row r="175" spans="1:5" ht="15" customHeight="1" x14ac:dyDescent="0.25">
      <c r="A175" s="784"/>
    </row>
    <row r="176" spans="1:5" ht="15" customHeight="1" x14ac:dyDescent="0.25">
      <c r="A176" s="784"/>
    </row>
    <row r="177" spans="1:1" ht="15" customHeight="1" x14ac:dyDescent="0.25">
      <c r="A177" s="784"/>
    </row>
    <row r="178" spans="1:1" ht="15" customHeight="1" x14ac:dyDescent="0.25">
      <c r="A178" s="784"/>
    </row>
    <row r="179" spans="1:1" ht="15" customHeight="1" x14ac:dyDescent="0.25">
      <c r="A179" s="784"/>
    </row>
    <row r="180" spans="1:1" ht="15" customHeight="1" x14ac:dyDescent="0.25">
      <c r="A180" s="784"/>
    </row>
    <row r="181" spans="1:1" ht="15" customHeight="1" x14ac:dyDescent="0.25">
      <c r="A181" s="784"/>
    </row>
    <row r="182" spans="1:1" ht="15" customHeight="1" x14ac:dyDescent="0.25">
      <c r="A182" s="784"/>
    </row>
    <row r="183" spans="1:1" ht="15" customHeight="1" x14ac:dyDescent="0.25">
      <c r="A183" s="784"/>
    </row>
    <row r="184" spans="1:1" ht="15" customHeight="1" x14ac:dyDescent="0.25">
      <c r="A184" s="784"/>
    </row>
    <row r="185" spans="1:1" ht="15" customHeight="1" x14ac:dyDescent="0.25">
      <c r="A185" s="784"/>
    </row>
    <row r="186" spans="1:1" ht="15" customHeight="1" x14ac:dyDescent="0.25">
      <c r="A186" s="784"/>
    </row>
    <row r="187" spans="1:1" ht="15" customHeight="1" x14ac:dyDescent="0.25">
      <c r="A187" s="784"/>
    </row>
    <row r="188" spans="1:1" ht="15" customHeight="1" x14ac:dyDescent="0.25">
      <c r="A188" s="784"/>
    </row>
    <row r="189" spans="1:1" ht="15" customHeight="1" x14ac:dyDescent="0.25">
      <c r="A189" s="784"/>
    </row>
    <row r="190" spans="1:1" ht="15" customHeight="1" x14ac:dyDescent="0.25">
      <c r="A190" s="784"/>
    </row>
    <row r="191" spans="1:1" ht="15" customHeight="1" x14ac:dyDescent="0.25">
      <c r="A191" s="784"/>
    </row>
    <row r="192" spans="1:1" ht="15" customHeight="1" x14ac:dyDescent="0.25">
      <c r="A192" s="784"/>
    </row>
    <row r="193" spans="1:1" ht="15" customHeight="1" x14ac:dyDescent="0.25">
      <c r="A193" s="784"/>
    </row>
    <row r="194" spans="1:1" ht="15" customHeight="1" x14ac:dyDescent="0.25">
      <c r="A194" s="784"/>
    </row>
    <row r="195" spans="1:1" ht="15" customHeight="1" x14ac:dyDescent="0.25">
      <c r="A195" s="784"/>
    </row>
    <row r="196" spans="1:1" ht="15" customHeight="1" x14ac:dyDescent="0.25">
      <c r="A196" s="784"/>
    </row>
    <row r="197" spans="1:1" ht="15" customHeight="1" x14ac:dyDescent="0.25">
      <c r="A197" s="784"/>
    </row>
    <row r="198" spans="1:1" ht="15" customHeight="1" x14ac:dyDescent="0.25">
      <c r="A198" s="784"/>
    </row>
    <row r="199" spans="1:1" ht="15" customHeight="1" x14ac:dyDescent="0.25">
      <c r="A199" s="784"/>
    </row>
    <row r="200" spans="1:1" ht="15" customHeight="1" x14ac:dyDescent="0.25">
      <c r="A200" s="784"/>
    </row>
    <row r="201" spans="1:1" ht="15" customHeight="1" x14ac:dyDescent="0.25">
      <c r="A201" s="784"/>
    </row>
    <row r="202" spans="1:1" ht="15" customHeight="1" x14ac:dyDescent="0.25">
      <c r="A202" s="784"/>
    </row>
    <row r="203" spans="1:1" ht="15" customHeight="1" x14ac:dyDescent="0.25">
      <c r="A203" s="784"/>
    </row>
    <row r="204" spans="1:1" ht="15" customHeight="1" x14ac:dyDescent="0.25">
      <c r="A204" s="784"/>
    </row>
    <row r="205" spans="1:1" ht="15" customHeight="1" x14ac:dyDescent="0.25">
      <c r="A205" s="784"/>
    </row>
    <row r="206" spans="1:1" ht="15" customHeight="1" x14ac:dyDescent="0.25">
      <c r="A206" s="784"/>
    </row>
    <row r="207" spans="1:1" ht="15" customHeight="1" x14ac:dyDescent="0.25">
      <c r="A207" s="784"/>
    </row>
    <row r="208" spans="1:1" ht="15" customHeight="1" x14ac:dyDescent="0.25">
      <c r="A208" s="784"/>
    </row>
    <row r="209" spans="1:1" ht="15" customHeight="1" x14ac:dyDescent="0.25">
      <c r="A209" s="784"/>
    </row>
    <row r="210" spans="1:1" ht="15" customHeight="1" x14ac:dyDescent="0.25">
      <c r="A210" s="784"/>
    </row>
    <row r="211" spans="1:1" ht="15" customHeight="1" x14ac:dyDescent="0.25">
      <c r="A211" s="784"/>
    </row>
    <row r="212" spans="1:1" ht="15" customHeight="1" x14ac:dyDescent="0.25">
      <c r="A212" s="784"/>
    </row>
    <row r="213" spans="1:1" ht="15" customHeight="1" x14ac:dyDescent="0.25">
      <c r="A213" s="784"/>
    </row>
    <row r="214" spans="1:1" ht="15" customHeight="1" x14ac:dyDescent="0.25">
      <c r="A214" s="784"/>
    </row>
    <row r="215" spans="1:1" ht="15" customHeight="1" x14ac:dyDescent="0.25">
      <c r="A215" s="784"/>
    </row>
    <row r="216" spans="1:1" ht="15" customHeight="1" x14ac:dyDescent="0.25">
      <c r="A216" s="784"/>
    </row>
    <row r="217" spans="1:1" ht="15" customHeight="1" x14ac:dyDescent="0.25">
      <c r="A217" s="784"/>
    </row>
    <row r="218" spans="1:1" ht="15" customHeight="1" x14ac:dyDescent="0.25">
      <c r="A218" s="784"/>
    </row>
    <row r="219" spans="1:1" ht="15" customHeight="1" x14ac:dyDescent="0.25">
      <c r="A219" s="784"/>
    </row>
    <row r="220" spans="1:1" ht="15" customHeight="1" x14ac:dyDescent="0.25">
      <c r="A220" s="784"/>
    </row>
    <row r="221" spans="1:1" ht="15" customHeight="1" x14ac:dyDescent="0.25">
      <c r="A221" s="784"/>
    </row>
    <row r="222" spans="1:1" ht="15" customHeight="1" x14ac:dyDescent="0.25">
      <c r="A222" s="784"/>
    </row>
    <row r="223" spans="1:1" ht="15" customHeight="1" x14ac:dyDescent="0.25">
      <c r="A223" s="784"/>
    </row>
    <row r="224" spans="1:1" ht="15" customHeight="1" x14ac:dyDescent="0.25">
      <c r="A224" s="784"/>
    </row>
    <row r="225" spans="1:1" ht="15" customHeight="1" x14ac:dyDescent="0.25">
      <c r="A225" s="784"/>
    </row>
    <row r="226" spans="1:1" ht="15" customHeight="1" x14ac:dyDescent="0.25">
      <c r="A226" s="784"/>
    </row>
    <row r="227" spans="1:1" ht="15" customHeight="1" x14ac:dyDescent="0.25">
      <c r="A227" s="784"/>
    </row>
    <row r="228" spans="1:1" ht="15" customHeight="1" x14ac:dyDescent="0.25">
      <c r="A228" s="784"/>
    </row>
    <row r="229" spans="1:1" ht="15" customHeight="1" x14ac:dyDescent="0.25">
      <c r="A229" s="784"/>
    </row>
    <row r="230" spans="1:1" ht="15" customHeight="1" x14ac:dyDescent="0.25">
      <c r="A230" s="784"/>
    </row>
    <row r="231" spans="1:1" ht="15" customHeight="1" x14ac:dyDescent="0.25">
      <c r="A231" s="784"/>
    </row>
    <row r="232" spans="1:1" ht="15" customHeight="1" x14ac:dyDescent="0.25">
      <c r="A232" s="784"/>
    </row>
    <row r="233" spans="1:1" ht="15" customHeight="1" x14ac:dyDescent="0.25">
      <c r="A233" s="784"/>
    </row>
    <row r="234" spans="1:1" ht="15" customHeight="1" x14ac:dyDescent="0.25">
      <c r="A234" s="784"/>
    </row>
    <row r="235" spans="1:1" ht="15" customHeight="1" x14ac:dyDescent="0.25">
      <c r="A235" s="784"/>
    </row>
    <row r="236" spans="1:1" ht="15" customHeight="1" x14ac:dyDescent="0.25">
      <c r="A236" s="784"/>
    </row>
    <row r="237" spans="1:1" ht="15" customHeight="1" x14ac:dyDescent="0.25">
      <c r="A237" s="784"/>
    </row>
    <row r="238" spans="1:1" ht="15" customHeight="1" x14ac:dyDescent="0.25">
      <c r="A238" s="784"/>
    </row>
    <row r="239" spans="1:1" ht="15" customHeight="1" x14ac:dyDescent="0.25">
      <c r="A239" s="784"/>
    </row>
    <row r="240" spans="1:1" ht="15" customHeight="1" x14ac:dyDescent="0.25">
      <c r="A240" s="784"/>
    </row>
    <row r="241" spans="1:1" ht="15" customHeight="1" x14ac:dyDescent="0.25">
      <c r="A241" s="784"/>
    </row>
    <row r="242" spans="1:1" ht="15" customHeight="1" x14ac:dyDescent="0.25">
      <c r="A242" s="784"/>
    </row>
    <row r="243" spans="1:1" ht="15" customHeight="1" x14ac:dyDescent="0.25">
      <c r="A243" s="784"/>
    </row>
    <row r="244" spans="1:1" ht="15" customHeight="1" x14ac:dyDescent="0.25">
      <c r="A244" s="784"/>
    </row>
    <row r="245" spans="1:1" ht="15" customHeight="1" x14ac:dyDescent="0.25">
      <c r="A245" s="784"/>
    </row>
    <row r="246" spans="1:1" ht="15" customHeight="1" x14ac:dyDescent="0.25">
      <c r="A246" s="784"/>
    </row>
    <row r="247" spans="1:1" ht="15" customHeight="1" x14ac:dyDescent="0.25">
      <c r="A247" s="784"/>
    </row>
    <row r="248" spans="1:1" ht="15" customHeight="1" x14ac:dyDescent="0.25">
      <c r="A248" s="784"/>
    </row>
    <row r="249" spans="1:1" ht="15" customHeight="1" x14ac:dyDescent="0.25">
      <c r="A249" s="784"/>
    </row>
    <row r="250" spans="1:1" ht="15" customHeight="1" x14ac:dyDescent="0.25">
      <c r="A250" s="784"/>
    </row>
    <row r="251" spans="1:1" ht="15" customHeight="1" x14ac:dyDescent="0.25">
      <c r="A251" s="784"/>
    </row>
    <row r="252" spans="1:1" ht="15" customHeight="1" x14ac:dyDescent="0.25">
      <c r="A252" s="784"/>
    </row>
    <row r="253" spans="1:1" ht="15" customHeight="1" x14ac:dyDescent="0.25">
      <c r="A253" s="784"/>
    </row>
    <row r="254" spans="1:1" ht="15" customHeight="1" x14ac:dyDescent="0.25">
      <c r="A254" s="784"/>
    </row>
    <row r="255" spans="1:1" ht="15" customHeight="1" x14ac:dyDescent="0.25">
      <c r="A255" s="784"/>
    </row>
    <row r="256" spans="1:1" ht="15" customHeight="1" x14ac:dyDescent="0.25">
      <c r="A256" s="784"/>
    </row>
    <row r="257" spans="1:1" ht="15" customHeight="1" x14ac:dyDescent="0.25">
      <c r="A257" s="784"/>
    </row>
    <row r="258" spans="1:1" ht="15" customHeight="1" x14ac:dyDescent="0.25">
      <c r="A258" s="784"/>
    </row>
    <row r="259" spans="1:1" ht="15" customHeight="1" x14ac:dyDescent="0.25">
      <c r="A259" s="784"/>
    </row>
    <row r="260" spans="1:1" ht="15" customHeight="1" x14ac:dyDescent="0.25">
      <c r="A260" s="784"/>
    </row>
    <row r="261" spans="1:1" ht="15" customHeight="1" x14ac:dyDescent="0.25">
      <c r="A261" s="784"/>
    </row>
    <row r="262" spans="1:1" ht="15" customHeight="1" x14ac:dyDescent="0.25">
      <c r="A262" s="784"/>
    </row>
    <row r="263" spans="1:1" ht="15" customHeight="1" x14ac:dyDescent="0.25">
      <c r="A263" s="784"/>
    </row>
  </sheetData>
  <sheetProtection algorithmName="SHA-512" hashValue="8oeSCGUtmP/PEQT60JU1o4SnASdE+MjX/ARKMwzrOjwnhmhW7DNGZHA53YqhjH6QW7w/zuxAE4O0Dm6GYLmsnQ==" saltValue="xc2MfOOMrPmSAx1qZcMt9w==" spinCount="100000" sheet="1" objects="1" scenarios="1"/>
  <phoneticPr fontId="2" type="noConversion"/>
  <pageMargins left="0.78740157499999996" right="0.78740157499999996" top="0.984251969" bottom="0.984251969" header="0.4921259845" footer="0.4921259845"/>
  <pageSetup paperSize="9" orientation="landscape" r:id="rId1"/>
  <headerFooter alignWithMargins="0"/>
  <customProperties>
    <customPr name="SSCSheetTrackingNo"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H21"/>
  <sheetViews>
    <sheetView zoomScale="120" zoomScaleNormal="120" workbookViewId="0">
      <selection activeCell="D6" sqref="D6"/>
    </sheetView>
  </sheetViews>
  <sheetFormatPr baseColWidth="10" defaultColWidth="11.44140625" defaultRowHeight="13.2" x14ac:dyDescent="0.25"/>
  <cols>
    <col min="1" max="1" width="49.109375" style="1278" customWidth="1"/>
    <col min="2" max="2" width="10" style="1278" customWidth="1"/>
    <col min="3" max="3" width="13" style="1278" customWidth="1"/>
    <col min="4" max="4" width="11.5546875" style="1278" customWidth="1"/>
    <col min="5" max="5" width="11.109375" style="1278" bestFit="1" customWidth="1"/>
    <col min="6" max="16384" width="11.44140625" style="1278"/>
  </cols>
  <sheetData>
    <row r="1" spans="1:6" ht="17.399999999999999" x14ac:dyDescent="0.3">
      <c r="A1" s="1316" t="s">
        <v>3831</v>
      </c>
    </row>
    <row r="4" spans="1:6" x14ac:dyDescent="0.25">
      <c r="A4" s="1278" t="s">
        <v>3832</v>
      </c>
      <c r="D4" s="1319" t="s">
        <v>3834</v>
      </c>
      <c r="F4" s="1317" t="s">
        <v>3833</v>
      </c>
    </row>
    <row r="5" spans="1:6" x14ac:dyDescent="0.25">
      <c r="C5" s="1318" t="str">
        <f>IF(D4="ja","","sondern")</f>
        <v>sondern</v>
      </c>
      <c r="D5" s="1320">
        <v>350000</v>
      </c>
      <c r="F5" s="1317" t="s">
        <v>3834</v>
      </c>
    </row>
    <row r="6" spans="1:6" x14ac:dyDescent="0.25">
      <c r="A6" s="1278" t="s">
        <v>3835</v>
      </c>
      <c r="D6" s="1319" t="s">
        <v>3834</v>
      </c>
    </row>
    <row r="7" spans="1:6" ht="4.5" customHeight="1" x14ac:dyDescent="0.25">
      <c r="A7" s="1281"/>
      <c r="B7" s="1279"/>
      <c r="C7" s="1282"/>
      <c r="D7" s="1283"/>
    </row>
    <row r="8" spans="1:6" ht="15" customHeight="1" x14ac:dyDescent="0.25">
      <c r="A8" s="1284" t="str">
        <f>CONCATENATE("Basisdaten im Berechnungsjahr ",YEAR(Input!E15)," per:")</f>
        <v>Basisdaten im Berechnungsjahr 2024 per:</v>
      </c>
      <c r="B8" s="1285"/>
      <c r="C8" s="1286"/>
      <c r="D8" s="1287">
        <f>Input!E15</f>
        <v>45292</v>
      </c>
    </row>
    <row r="9" spans="1:6" ht="12.6" customHeight="1" x14ac:dyDescent="0.25">
      <c r="A9" s="1288" t="s">
        <v>3823</v>
      </c>
      <c r="B9" s="1289"/>
      <c r="C9" s="1290">
        <f>Input!E11</f>
        <v>31048</v>
      </c>
      <c r="D9" s="1291">
        <f>Input!F11</f>
        <v>39</v>
      </c>
    </row>
    <row r="10" spans="1:6" ht="12.6" customHeight="1" x14ac:dyDescent="0.25">
      <c r="A10" s="1288" t="s">
        <v>3824</v>
      </c>
      <c r="B10" s="1292"/>
      <c r="C10" s="1293"/>
      <c r="D10" s="1294" t="str">
        <f>'Ausweis-Certificat'!J9</f>
        <v>102_</v>
      </c>
    </row>
    <row r="11" spans="1:6" ht="12.6" customHeight="1" x14ac:dyDescent="0.25">
      <c r="A11" s="1288" t="s">
        <v>3685</v>
      </c>
      <c r="B11" s="1292"/>
      <c r="C11" s="1295"/>
      <c r="D11" s="1296">
        <f>Input!E24</f>
        <v>100000</v>
      </c>
    </row>
    <row r="12" spans="1:6" ht="12.6" customHeight="1" x14ac:dyDescent="0.25">
      <c r="A12" s="1297" t="str">
        <f>CONCATENATE("Einkaufsfaktor im ",D9,". Altersjahr gemäss Reglement:")</f>
        <v>Einkaufsfaktor im 39. Altersjahr gemäss Reglement:</v>
      </c>
      <c r="B12" s="1298"/>
      <c r="C12" s="1299"/>
      <c r="D12" s="1300">
        <f>Input!E82+Input!E83</f>
        <v>1.242</v>
      </c>
    </row>
    <row r="13" spans="1:6" ht="2.25" customHeight="1" x14ac:dyDescent="0.25">
      <c r="A13" s="1315"/>
      <c r="B13" s="1315"/>
      <c r="C13" s="1315"/>
      <c r="D13" s="1315"/>
    </row>
    <row r="14" spans="1:6" x14ac:dyDescent="0.25">
      <c r="A14" s="1322" t="s">
        <v>3825</v>
      </c>
      <c r="B14" s="1322"/>
      <c r="C14" s="1315"/>
      <c r="D14" s="1315"/>
    </row>
    <row r="15" spans="1:6" ht="12.6" customHeight="1" x14ac:dyDescent="0.25">
      <c r="A15" s="1301" t="s">
        <v>3826</v>
      </c>
      <c r="B15" s="1302"/>
      <c r="C15" s="1303"/>
      <c r="D15" s="1304">
        <f>D12*D11</f>
        <v>124200</v>
      </c>
    </row>
    <row r="16" spans="1:6" ht="12.6" customHeight="1" x14ac:dyDescent="0.25">
      <c r="A16" s="1305" t="s">
        <v>3827</v>
      </c>
      <c r="B16" s="1289"/>
      <c r="C16" s="1306"/>
      <c r="D16" s="1307">
        <f>IF(D4="ja",Input!E51,Einkaufsberechnung!D5)</f>
        <v>350000</v>
      </c>
    </row>
    <row r="17" spans="1:8" ht="12.6" customHeight="1" x14ac:dyDescent="0.25">
      <c r="A17" s="1305" t="s">
        <v>3828</v>
      </c>
      <c r="B17" s="1289"/>
      <c r="C17" s="1306"/>
      <c r="D17" s="1307">
        <v>0</v>
      </c>
    </row>
    <row r="18" spans="1:8" ht="12.6" customHeight="1" x14ac:dyDescent="0.25">
      <c r="A18" s="1305" t="s">
        <v>3829</v>
      </c>
      <c r="B18" s="1289"/>
      <c r="C18" s="1308"/>
      <c r="D18" s="1309">
        <v>0</v>
      </c>
    </row>
    <row r="19" spans="1:8" ht="12.6" customHeight="1" x14ac:dyDescent="0.25">
      <c r="A19" s="1310" t="s">
        <v>3830</v>
      </c>
      <c r="B19" s="1280"/>
      <c r="C19" s="1323" t="s">
        <v>971</v>
      </c>
      <c r="D19" s="1311">
        <f>D15-D16-D17-D18</f>
        <v>-225800</v>
      </c>
      <c r="E19" s="1317">
        <f>(D18+D17+D16)-D15</f>
        <v>225800</v>
      </c>
      <c r="F19" s="1312"/>
      <c r="G19" s="1313"/>
      <c r="H19" s="1313"/>
    </row>
    <row r="20" spans="1:8" ht="3" customHeight="1" x14ac:dyDescent="0.25">
      <c r="A20" s="1324"/>
      <c r="B20" s="1325"/>
      <c r="C20" s="1326"/>
      <c r="D20" s="1309"/>
      <c r="F20" s="1314"/>
      <c r="G20" s="1313"/>
      <c r="H20" s="1313"/>
    </row>
    <row r="21" spans="1:8" ht="6" customHeight="1" x14ac:dyDescent="0.25"/>
  </sheetData>
  <sheetProtection algorithmName="SHA-512" hashValue="s/D9dUfU6mnx5/2vjQ5LHHUAZ1e42QLPJk3+VNEUc9nGRDzBWHTvatxYwyfB6e/xES6MRAfCnrHoVoQEk8fKOA==" saltValue="8tuoe8EIPsXELjWQYDRyLg==" spinCount="100000" sheet="1" objects="1" scenarios="1"/>
  <conditionalFormatting sqref="D5">
    <cfRule type="expression" dxfId="25" priority="1">
      <formula>$D$4="Ja"</formula>
    </cfRule>
  </conditionalFormatting>
  <dataValidations count="1">
    <dataValidation type="list" allowBlank="1" showInputMessage="1" showErrorMessage="1" sqref="D4 D6">
      <formula1>$F$4:$F$5</formula1>
    </dataValidation>
  </dataValidations>
  <pageMargins left="1.1811023622047245" right="0.19685039370078741" top="1.8897637795275593" bottom="0.59055118110236227"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F240"/>
  <sheetViews>
    <sheetView topLeftCell="A60" zoomScale="125" workbookViewId="0">
      <selection activeCell="J72" sqref="J72"/>
    </sheetView>
  </sheetViews>
  <sheetFormatPr baseColWidth="10" defaultColWidth="11.44140625" defaultRowHeight="13.2" x14ac:dyDescent="0.25"/>
  <cols>
    <col min="1" max="1" width="11.109375" style="33" customWidth="1"/>
    <col min="2" max="4" width="7" style="33" customWidth="1"/>
    <col min="5" max="5" width="7.44140625" style="33" customWidth="1"/>
    <col min="6" max="63" width="7" style="33" customWidth="1"/>
    <col min="64" max="16384" width="11.44140625" style="33"/>
  </cols>
  <sheetData>
    <row r="1" spans="1:19" ht="17.399999999999999" x14ac:dyDescent="0.3">
      <c r="A1" s="38" t="s">
        <v>1060</v>
      </c>
      <c r="H1" s="226"/>
      <c r="I1" s="43"/>
      <c r="J1" s="43"/>
      <c r="K1" s="43"/>
    </row>
    <row r="2" spans="1:19" ht="17.399999999999999" x14ac:dyDescent="0.3">
      <c r="A2" s="38"/>
      <c r="H2" s="226"/>
      <c r="I2" s="43"/>
      <c r="J2" s="43"/>
      <c r="K2" s="43"/>
    </row>
    <row r="3" spans="1:19" ht="15.6" hidden="1" x14ac:dyDescent="0.3">
      <c r="A3" s="103" t="s">
        <v>1378</v>
      </c>
      <c r="L3" s="103" t="s">
        <v>1397</v>
      </c>
    </row>
    <row r="4" spans="1:19" s="41" customFormat="1" ht="10.8" hidden="1" x14ac:dyDescent="0.2">
      <c r="B4" s="42"/>
      <c r="C4" s="42">
        <v>1</v>
      </c>
      <c r="D4" s="42">
        <v>2</v>
      </c>
      <c r="E4" s="42">
        <v>3</v>
      </c>
      <c r="F4" s="42">
        <v>4</v>
      </c>
      <c r="G4" s="42">
        <v>5</v>
      </c>
      <c r="H4" s="42">
        <v>6</v>
      </c>
      <c r="I4" s="42">
        <v>7</v>
      </c>
      <c r="J4" s="42">
        <v>8</v>
      </c>
      <c r="K4" s="42">
        <v>9</v>
      </c>
      <c r="L4" s="42">
        <v>10</v>
      </c>
      <c r="M4" s="42">
        <v>11</v>
      </c>
      <c r="N4" s="42">
        <v>12</v>
      </c>
      <c r="O4" s="42">
        <v>13</v>
      </c>
      <c r="P4" s="42">
        <v>14</v>
      </c>
      <c r="Q4" s="42">
        <v>15</v>
      </c>
      <c r="R4" s="42">
        <v>16</v>
      </c>
      <c r="S4" s="42">
        <v>17</v>
      </c>
    </row>
    <row r="5" spans="1:19" hidden="1" x14ac:dyDescent="0.25">
      <c r="A5" s="249"/>
      <c r="B5" s="250" t="s">
        <v>990</v>
      </c>
      <c r="C5" s="250" t="s">
        <v>1082</v>
      </c>
      <c r="D5" s="250">
        <v>1942</v>
      </c>
      <c r="E5" s="250">
        <v>1943</v>
      </c>
      <c r="F5" s="250">
        <v>1944</v>
      </c>
      <c r="G5" s="250">
        <v>1945</v>
      </c>
      <c r="H5" s="250">
        <v>1946</v>
      </c>
      <c r="I5" s="250">
        <v>1947</v>
      </c>
      <c r="J5" s="250">
        <v>1948</v>
      </c>
      <c r="K5" s="250" t="s">
        <v>1083</v>
      </c>
      <c r="L5" s="304">
        <v>1942</v>
      </c>
      <c r="M5" s="250">
        <v>1943</v>
      </c>
      <c r="N5" s="250">
        <v>1944</v>
      </c>
      <c r="O5" s="250">
        <v>1945</v>
      </c>
      <c r="P5" s="250">
        <v>1946</v>
      </c>
      <c r="Q5" s="250">
        <v>1947</v>
      </c>
      <c r="R5" s="250">
        <v>1948</v>
      </c>
      <c r="S5" s="250" t="s">
        <v>1083</v>
      </c>
    </row>
    <row r="6" spans="1:19" hidden="1" x14ac:dyDescent="0.25">
      <c r="A6" s="249" t="s">
        <v>1379</v>
      </c>
      <c r="B6" s="250">
        <v>58</v>
      </c>
      <c r="C6" s="251">
        <v>158</v>
      </c>
      <c r="D6" s="252">
        <v>0</v>
      </c>
      <c r="E6" s="252">
        <v>0</v>
      </c>
      <c r="F6" s="252">
        <v>0</v>
      </c>
      <c r="G6" s="252">
        <v>0</v>
      </c>
      <c r="H6" s="252">
        <v>0</v>
      </c>
      <c r="I6" s="252">
        <v>0</v>
      </c>
      <c r="J6" s="252">
        <v>0</v>
      </c>
      <c r="K6" s="252">
        <v>5.75</v>
      </c>
      <c r="L6" s="305"/>
      <c r="M6" s="306"/>
      <c r="N6" s="306"/>
      <c r="O6" s="306"/>
      <c r="P6" s="306"/>
      <c r="Q6" s="306"/>
      <c r="R6" s="306"/>
      <c r="S6" s="306"/>
    </row>
    <row r="7" spans="1:19" hidden="1" x14ac:dyDescent="0.25">
      <c r="A7" s="249"/>
      <c r="B7" s="250">
        <v>59</v>
      </c>
      <c r="C7" s="251">
        <v>159</v>
      </c>
      <c r="D7" s="252">
        <v>0</v>
      </c>
      <c r="E7" s="252">
        <v>0</v>
      </c>
      <c r="F7" s="252">
        <v>0</v>
      </c>
      <c r="G7" s="252">
        <v>0</v>
      </c>
      <c r="H7" s="252">
        <v>0</v>
      </c>
      <c r="I7" s="252">
        <v>0</v>
      </c>
      <c r="J7" s="252">
        <v>0</v>
      </c>
      <c r="K7" s="252">
        <v>5.95</v>
      </c>
      <c r="L7" s="305"/>
      <c r="M7" s="306"/>
      <c r="N7" s="306"/>
      <c r="O7" s="306"/>
      <c r="P7" s="306"/>
      <c r="Q7" s="306"/>
      <c r="R7" s="306"/>
      <c r="S7" s="306"/>
    </row>
    <row r="8" spans="1:19" hidden="1" x14ac:dyDescent="0.25">
      <c r="A8" s="249"/>
      <c r="B8" s="250">
        <v>60</v>
      </c>
      <c r="C8" s="251">
        <v>160</v>
      </c>
      <c r="D8" s="252">
        <v>0</v>
      </c>
      <c r="E8" s="252">
        <v>0</v>
      </c>
      <c r="F8" s="252">
        <v>0</v>
      </c>
      <c r="G8" s="252">
        <v>0</v>
      </c>
      <c r="H8" s="252">
        <v>0</v>
      </c>
      <c r="I8" s="252">
        <v>0</v>
      </c>
      <c r="J8" s="252">
        <v>0</v>
      </c>
      <c r="K8" s="252">
        <v>6.05</v>
      </c>
      <c r="L8" s="305"/>
      <c r="M8" s="306"/>
      <c r="N8" s="306"/>
      <c r="O8" s="306"/>
      <c r="P8" s="306"/>
      <c r="Q8" s="306"/>
      <c r="R8" s="306"/>
      <c r="S8" s="306"/>
    </row>
    <row r="9" spans="1:19" hidden="1" x14ac:dyDescent="0.25">
      <c r="A9" s="249"/>
      <c r="B9" s="250">
        <v>61</v>
      </c>
      <c r="C9" s="251">
        <v>161</v>
      </c>
      <c r="D9" s="252">
        <v>0</v>
      </c>
      <c r="E9" s="252">
        <v>0</v>
      </c>
      <c r="F9" s="252">
        <v>0</v>
      </c>
      <c r="G9" s="252">
        <v>0</v>
      </c>
      <c r="H9" s="252">
        <v>0</v>
      </c>
      <c r="I9" s="252">
        <v>0</v>
      </c>
      <c r="J9" s="252">
        <v>0</v>
      </c>
      <c r="K9" s="253">
        <v>6.2</v>
      </c>
      <c r="L9" s="305"/>
      <c r="M9" s="306"/>
      <c r="N9" s="306"/>
      <c r="O9" s="306"/>
      <c r="P9" s="306"/>
      <c r="Q9" s="306"/>
      <c r="R9" s="306"/>
      <c r="S9" s="306"/>
    </row>
    <row r="10" spans="1:19" hidden="1" x14ac:dyDescent="0.25">
      <c r="A10" s="249"/>
      <c r="B10" s="250">
        <v>62</v>
      </c>
      <c r="C10" s="251">
        <v>162</v>
      </c>
      <c r="D10" s="252">
        <v>0</v>
      </c>
      <c r="E10" s="252">
        <v>0</v>
      </c>
      <c r="F10" s="252">
        <v>0</v>
      </c>
      <c r="G10" s="252">
        <v>0</v>
      </c>
      <c r="H10" s="252">
        <v>0</v>
      </c>
      <c r="I10" s="252">
        <v>0</v>
      </c>
      <c r="J10" s="253">
        <v>6.36</v>
      </c>
      <c r="K10" s="252">
        <v>6.35</v>
      </c>
      <c r="L10" s="305"/>
      <c r="M10" s="306"/>
      <c r="N10" s="306"/>
      <c r="O10" s="306"/>
      <c r="P10" s="306"/>
      <c r="Q10" s="306"/>
      <c r="R10" s="306"/>
      <c r="S10" s="306"/>
    </row>
    <row r="11" spans="1:19" hidden="1" x14ac:dyDescent="0.25">
      <c r="A11" s="249"/>
      <c r="B11" s="250">
        <v>63</v>
      </c>
      <c r="C11" s="251">
        <v>163</v>
      </c>
      <c r="D11" s="252">
        <v>0</v>
      </c>
      <c r="E11" s="252">
        <v>0</v>
      </c>
      <c r="F11" s="252">
        <v>0</v>
      </c>
      <c r="G11" s="252">
        <v>0</v>
      </c>
      <c r="H11" s="252">
        <v>0</v>
      </c>
      <c r="I11" s="253">
        <v>6.56</v>
      </c>
      <c r="J11" s="253">
        <v>6.51</v>
      </c>
      <c r="K11" s="252">
        <v>6.5</v>
      </c>
      <c r="L11" s="305"/>
      <c r="M11" s="306"/>
      <c r="N11" s="306"/>
      <c r="O11" s="306"/>
      <c r="P11" s="306"/>
      <c r="Q11" s="306"/>
      <c r="R11" s="306"/>
      <c r="S11" s="306"/>
    </row>
    <row r="12" spans="1:19" hidden="1" x14ac:dyDescent="0.25">
      <c r="A12" s="249"/>
      <c r="B12" s="250">
        <v>64</v>
      </c>
      <c r="C12" s="251">
        <v>164</v>
      </c>
      <c r="D12" s="252">
        <v>0</v>
      </c>
      <c r="E12" s="252">
        <v>0</v>
      </c>
      <c r="F12" s="252">
        <v>0</v>
      </c>
      <c r="G12" s="252">
        <v>0</v>
      </c>
      <c r="H12" s="253">
        <v>6.78</v>
      </c>
      <c r="I12" s="253">
        <v>6.72</v>
      </c>
      <c r="J12" s="252">
        <v>6.68</v>
      </c>
      <c r="K12" s="252">
        <v>6.65</v>
      </c>
      <c r="L12" s="305">
        <v>0</v>
      </c>
      <c r="M12" s="306">
        <v>0</v>
      </c>
      <c r="N12" s="306">
        <v>0</v>
      </c>
      <c r="O12" s="306">
        <v>0</v>
      </c>
      <c r="P12" s="306">
        <v>0</v>
      </c>
      <c r="Q12" s="306">
        <v>0</v>
      </c>
      <c r="R12" s="306">
        <v>0</v>
      </c>
      <c r="S12" s="306">
        <v>0</v>
      </c>
    </row>
    <row r="13" spans="1:19" hidden="1" x14ac:dyDescent="0.25">
      <c r="A13" s="249"/>
      <c r="B13" s="250">
        <v>65</v>
      </c>
      <c r="C13" s="251">
        <v>165</v>
      </c>
      <c r="D13" s="252">
        <v>0</v>
      </c>
      <c r="E13" s="252">
        <v>0</v>
      </c>
      <c r="F13" s="252">
        <v>0</v>
      </c>
      <c r="G13" s="253">
        <v>7</v>
      </c>
      <c r="H13" s="253">
        <v>6.95</v>
      </c>
      <c r="I13" s="252">
        <v>6.9</v>
      </c>
      <c r="J13" s="252">
        <v>6.85</v>
      </c>
      <c r="K13" s="252">
        <v>6.8</v>
      </c>
      <c r="L13" s="305">
        <v>7.1</v>
      </c>
      <c r="M13" s="306">
        <v>7.05</v>
      </c>
      <c r="N13" s="306">
        <v>7.05</v>
      </c>
      <c r="O13" s="306">
        <v>7</v>
      </c>
      <c r="P13" s="306">
        <v>6.95</v>
      </c>
      <c r="Q13" s="306">
        <v>6.9</v>
      </c>
      <c r="R13" s="306">
        <v>6.85</v>
      </c>
      <c r="S13" s="306">
        <v>6.8</v>
      </c>
    </row>
    <row r="14" spans="1:19" hidden="1" x14ac:dyDescent="0.25">
      <c r="A14" s="249"/>
      <c r="B14" s="250">
        <v>66</v>
      </c>
      <c r="C14" s="251">
        <v>166</v>
      </c>
      <c r="D14" s="252">
        <v>0</v>
      </c>
      <c r="E14" s="252">
        <v>0</v>
      </c>
      <c r="F14" s="253">
        <v>7.24</v>
      </c>
      <c r="G14" s="253">
        <v>7.19</v>
      </c>
      <c r="H14" s="252">
        <v>7.14</v>
      </c>
      <c r="I14" s="252">
        <v>7.09</v>
      </c>
      <c r="J14" s="252">
        <v>7.04</v>
      </c>
      <c r="K14" s="252">
        <v>6.99</v>
      </c>
      <c r="L14" s="305">
        <v>7.1</v>
      </c>
      <c r="M14" s="306">
        <v>7.05</v>
      </c>
      <c r="N14" s="306">
        <v>7.05</v>
      </c>
      <c r="O14" s="306">
        <v>7</v>
      </c>
      <c r="P14" s="306">
        <v>6.95</v>
      </c>
      <c r="Q14" s="306">
        <v>6.9</v>
      </c>
      <c r="R14" s="306">
        <v>6.85</v>
      </c>
      <c r="S14" s="306">
        <v>6.8</v>
      </c>
    </row>
    <row r="15" spans="1:19" hidden="1" x14ac:dyDescent="0.25">
      <c r="A15" s="249"/>
      <c r="B15" s="250">
        <v>67</v>
      </c>
      <c r="C15" s="251">
        <v>167</v>
      </c>
      <c r="D15" s="252">
        <v>0</v>
      </c>
      <c r="E15" s="253">
        <v>7.45</v>
      </c>
      <c r="F15" s="253">
        <v>7.45</v>
      </c>
      <c r="G15" s="252">
        <v>7.4</v>
      </c>
      <c r="H15" s="252">
        <v>7.35</v>
      </c>
      <c r="I15" s="252">
        <v>7.29</v>
      </c>
      <c r="J15" s="252">
        <v>7.24</v>
      </c>
      <c r="K15" s="252">
        <v>7.18</v>
      </c>
      <c r="L15" s="305">
        <v>7.1</v>
      </c>
      <c r="M15" s="306">
        <v>7.05</v>
      </c>
      <c r="N15" s="306">
        <v>7.05</v>
      </c>
      <c r="O15" s="306">
        <v>7</v>
      </c>
      <c r="P15" s="306">
        <v>6.95</v>
      </c>
      <c r="Q15" s="306">
        <v>6.9</v>
      </c>
      <c r="R15" s="306">
        <v>6.85</v>
      </c>
      <c r="S15" s="306">
        <v>6.8</v>
      </c>
    </row>
    <row r="16" spans="1:19" hidden="1" x14ac:dyDescent="0.25">
      <c r="A16" s="249"/>
      <c r="B16" s="250">
        <v>68</v>
      </c>
      <c r="C16" s="251">
        <v>168</v>
      </c>
      <c r="D16" s="253">
        <v>7.73</v>
      </c>
      <c r="E16" s="253">
        <v>7.67</v>
      </c>
      <c r="F16" s="252">
        <v>7.67</v>
      </c>
      <c r="G16" s="252">
        <v>7.62</v>
      </c>
      <c r="H16" s="252">
        <v>7.57</v>
      </c>
      <c r="I16" s="252">
        <v>7.51</v>
      </c>
      <c r="J16" s="252">
        <v>7.46</v>
      </c>
      <c r="K16" s="252">
        <v>7.4</v>
      </c>
      <c r="L16" s="305">
        <v>7.1</v>
      </c>
      <c r="M16" s="306">
        <v>7.05</v>
      </c>
      <c r="N16" s="306">
        <v>7.05</v>
      </c>
      <c r="O16" s="306">
        <v>7</v>
      </c>
      <c r="P16" s="306">
        <v>6.95</v>
      </c>
      <c r="Q16" s="306">
        <v>6.9</v>
      </c>
      <c r="R16" s="306">
        <v>6.85</v>
      </c>
      <c r="S16" s="306">
        <v>6.8</v>
      </c>
    </row>
    <row r="17" spans="1:19" hidden="1" x14ac:dyDescent="0.25">
      <c r="A17" s="249"/>
      <c r="B17" s="250">
        <v>69</v>
      </c>
      <c r="C17" s="251">
        <v>169</v>
      </c>
      <c r="D17" s="253">
        <v>7.97</v>
      </c>
      <c r="E17" s="252">
        <v>7.91</v>
      </c>
      <c r="F17" s="252">
        <v>7.91</v>
      </c>
      <c r="G17" s="252">
        <v>7.86</v>
      </c>
      <c r="H17" s="252">
        <v>7.81</v>
      </c>
      <c r="I17" s="252">
        <v>7.74</v>
      </c>
      <c r="J17" s="252">
        <v>7.69</v>
      </c>
      <c r="K17" s="252">
        <v>7.63</v>
      </c>
      <c r="L17" s="305">
        <v>7.1</v>
      </c>
      <c r="M17" s="306">
        <v>7.05</v>
      </c>
      <c r="N17" s="306">
        <v>7.05</v>
      </c>
      <c r="O17" s="306">
        <v>7</v>
      </c>
      <c r="P17" s="306">
        <v>6.95</v>
      </c>
      <c r="Q17" s="306">
        <v>6.9</v>
      </c>
      <c r="R17" s="306">
        <v>6.85</v>
      </c>
      <c r="S17" s="306">
        <v>6.8</v>
      </c>
    </row>
    <row r="18" spans="1:19" hidden="1" x14ac:dyDescent="0.25">
      <c r="A18" s="249"/>
      <c r="B18" s="250">
        <v>70</v>
      </c>
      <c r="C18" s="251">
        <v>170</v>
      </c>
      <c r="D18" s="252">
        <v>8.23</v>
      </c>
      <c r="E18" s="252">
        <v>8.17</v>
      </c>
      <c r="F18" s="252">
        <v>8.17</v>
      </c>
      <c r="G18" s="252">
        <v>8.1199999999999992</v>
      </c>
      <c r="H18" s="252">
        <v>8.06</v>
      </c>
      <c r="I18" s="252">
        <v>8</v>
      </c>
      <c r="J18" s="252">
        <v>7.94</v>
      </c>
      <c r="K18" s="252">
        <v>7.88</v>
      </c>
      <c r="L18" s="305">
        <v>7.1</v>
      </c>
      <c r="M18" s="306">
        <v>7.05</v>
      </c>
      <c r="N18" s="306">
        <v>7.05</v>
      </c>
      <c r="O18" s="306">
        <v>7</v>
      </c>
      <c r="P18" s="306">
        <v>6.95</v>
      </c>
      <c r="Q18" s="306">
        <v>6.9</v>
      </c>
      <c r="R18" s="306">
        <v>6.85</v>
      </c>
      <c r="S18" s="306">
        <v>6.8</v>
      </c>
    </row>
    <row r="19" spans="1:19" hidden="1" x14ac:dyDescent="0.25">
      <c r="A19" s="259" t="s">
        <v>1380</v>
      </c>
      <c r="B19" s="260">
        <v>58</v>
      </c>
      <c r="C19" s="261">
        <v>258</v>
      </c>
      <c r="D19" s="263">
        <v>0</v>
      </c>
      <c r="E19" s="263">
        <v>0</v>
      </c>
      <c r="F19" s="263">
        <v>0</v>
      </c>
      <c r="G19" s="263">
        <v>0</v>
      </c>
      <c r="H19" s="263">
        <v>0</v>
      </c>
      <c r="I19" s="263">
        <v>0</v>
      </c>
      <c r="J19" s="263">
        <v>0</v>
      </c>
      <c r="K19" s="263">
        <v>5.88</v>
      </c>
      <c r="L19" s="307"/>
      <c r="M19" s="308"/>
      <c r="N19" s="308"/>
      <c r="O19" s="308"/>
      <c r="P19" s="308"/>
      <c r="Q19" s="308"/>
      <c r="R19" s="308"/>
      <c r="S19" s="308"/>
    </row>
    <row r="20" spans="1:19" hidden="1" x14ac:dyDescent="0.25">
      <c r="A20" s="259"/>
      <c r="B20" s="260">
        <v>59</v>
      </c>
      <c r="C20" s="261">
        <v>259</v>
      </c>
      <c r="D20" s="263">
        <v>0</v>
      </c>
      <c r="E20" s="263">
        <v>0</v>
      </c>
      <c r="F20" s="263">
        <v>0</v>
      </c>
      <c r="G20" s="263">
        <v>0</v>
      </c>
      <c r="H20" s="263">
        <v>0</v>
      </c>
      <c r="I20" s="263">
        <v>0</v>
      </c>
      <c r="J20" s="263">
        <v>0</v>
      </c>
      <c r="K20" s="263">
        <v>6.02</v>
      </c>
      <c r="L20" s="307"/>
      <c r="M20" s="308"/>
      <c r="N20" s="308"/>
      <c r="O20" s="308"/>
      <c r="P20" s="308"/>
      <c r="Q20" s="308"/>
      <c r="R20" s="308"/>
      <c r="S20" s="308"/>
    </row>
    <row r="21" spans="1:19" hidden="1" x14ac:dyDescent="0.25">
      <c r="A21" s="259"/>
      <c r="B21" s="260">
        <v>60</v>
      </c>
      <c r="C21" s="261">
        <v>260</v>
      </c>
      <c r="D21" s="263">
        <v>0</v>
      </c>
      <c r="E21" s="263">
        <v>0</v>
      </c>
      <c r="F21" s="263">
        <v>0</v>
      </c>
      <c r="G21" s="263">
        <v>0</v>
      </c>
      <c r="H21" s="263">
        <v>0</v>
      </c>
      <c r="I21" s="263">
        <v>0</v>
      </c>
      <c r="J21" s="263">
        <v>0</v>
      </c>
      <c r="K21" s="263">
        <v>6.16</v>
      </c>
      <c r="L21" s="307"/>
      <c r="M21" s="308"/>
      <c r="N21" s="308"/>
      <c r="O21" s="308"/>
      <c r="P21" s="308"/>
      <c r="Q21" s="308"/>
      <c r="R21" s="308"/>
      <c r="S21" s="308"/>
    </row>
    <row r="22" spans="1:19" hidden="1" x14ac:dyDescent="0.25">
      <c r="A22" s="259"/>
      <c r="B22" s="260">
        <v>61</v>
      </c>
      <c r="C22" s="261">
        <v>261</v>
      </c>
      <c r="D22" s="263">
        <v>0</v>
      </c>
      <c r="E22" s="263">
        <v>0</v>
      </c>
      <c r="F22" s="263">
        <v>0</v>
      </c>
      <c r="G22" s="263">
        <v>0</v>
      </c>
      <c r="H22" s="263">
        <v>0</v>
      </c>
      <c r="I22" s="263">
        <v>0</v>
      </c>
      <c r="J22" s="263">
        <v>0</v>
      </c>
      <c r="K22" s="263">
        <v>6.31</v>
      </c>
      <c r="L22" s="307"/>
      <c r="M22" s="308"/>
      <c r="N22" s="308"/>
      <c r="O22" s="308"/>
      <c r="P22" s="308"/>
      <c r="Q22" s="308"/>
      <c r="R22" s="308"/>
      <c r="S22" s="308"/>
    </row>
    <row r="23" spans="1:19" hidden="1" x14ac:dyDescent="0.25">
      <c r="A23" s="259"/>
      <c r="B23" s="260">
        <v>62</v>
      </c>
      <c r="C23" s="261">
        <v>262</v>
      </c>
      <c r="D23" s="263">
        <v>0</v>
      </c>
      <c r="E23" s="263">
        <v>0</v>
      </c>
      <c r="F23" s="263">
        <v>0</v>
      </c>
      <c r="G23" s="263">
        <v>0</v>
      </c>
      <c r="H23" s="263">
        <v>0</v>
      </c>
      <c r="I23" s="263">
        <v>0</v>
      </c>
      <c r="J23" s="264">
        <v>6.51</v>
      </c>
      <c r="K23" s="263">
        <v>6.46</v>
      </c>
      <c r="L23" s="307"/>
      <c r="M23" s="308"/>
      <c r="N23" s="308"/>
      <c r="O23" s="308"/>
      <c r="P23" s="308"/>
      <c r="Q23" s="308"/>
      <c r="R23" s="308"/>
      <c r="S23" s="308"/>
    </row>
    <row r="24" spans="1:19" hidden="1" x14ac:dyDescent="0.25">
      <c r="A24" s="259"/>
      <c r="B24" s="260">
        <v>63</v>
      </c>
      <c r="C24" s="261">
        <v>263</v>
      </c>
      <c r="D24" s="263">
        <v>0</v>
      </c>
      <c r="E24" s="263">
        <v>0</v>
      </c>
      <c r="F24" s="263">
        <v>0</v>
      </c>
      <c r="G24" s="263">
        <v>0</v>
      </c>
      <c r="H24" s="263">
        <v>0</v>
      </c>
      <c r="I24" s="264">
        <v>6.72</v>
      </c>
      <c r="J24" s="264">
        <v>6.68</v>
      </c>
      <c r="K24" s="263">
        <v>6.63</v>
      </c>
      <c r="L24" s="307"/>
      <c r="M24" s="308"/>
      <c r="N24" s="308"/>
      <c r="O24" s="308"/>
      <c r="P24" s="308"/>
      <c r="Q24" s="308"/>
      <c r="R24" s="308"/>
      <c r="S24" s="308"/>
    </row>
    <row r="25" spans="1:19" hidden="1" x14ac:dyDescent="0.25">
      <c r="A25" s="259"/>
      <c r="B25" s="260">
        <v>64</v>
      </c>
      <c r="C25" s="261">
        <v>264</v>
      </c>
      <c r="D25" s="263">
        <v>0</v>
      </c>
      <c r="E25" s="263">
        <v>0</v>
      </c>
      <c r="F25" s="263">
        <v>0</v>
      </c>
      <c r="G25" s="263">
        <v>0</v>
      </c>
      <c r="H25" s="264">
        <v>6.95</v>
      </c>
      <c r="I25" s="264">
        <v>6.9</v>
      </c>
      <c r="J25" s="263">
        <v>6.85</v>
      </c>
      <c r="K25" s="263">
        <v>6.8</v>
      </c>
      <c r="L25" s="307">
        <v>7.2</v>
      </c>
      <c r="M25" s="308">
        <v>7.15</v>
      </c>
      <c r="N25" s="308">
        <v>7.1</v>
      </c>
      <c r="O25" s="308">
        <v>7</v>
      </c>
      <c r="P25" s="308">
        <v>6.95</v>
      </c>
      <c r="Q25" s="308">
        <v>6.9</v>
      </c>
      <c r="R25" s="308">
        <v>6.85</v>
      </c>
      <c r="S25" s="308">
        <v>6.8</v>
      </c>
    </row>
    <row r="26" spans="1:19" hidden="1" x14ac:dyDescent="0.25">
      <c r="A26" s="259"/>
      <c r="B26" s="260">
        <v>65</v>
      </c>
      <c r="C26" s="261">
        <v>265</v>
      </c>
      <c r="D26" s="263">
        <v>0</v>
      </c>
      <c r="E26" s="263">
        <v>0</v>
      </c>
      <c r="F26" s="263">
        <v>0</v>
      </c>
      <c r="G26" s="264">
        <v>7.19</v>
      </c>
      <c r="H26" s="264">
        <v>7.14</v>
      </c>
      <c r="I26" s="263">
        <v>7.09</v>
      </c>
      <c r="J26" s="263">
        <v>7.04</v>
      </c>
      <c r="K26" s="263">
        <v>6.99</v>
      </c>
      <c r="L26" s="307">
        <v>7.2</v>
      </c>
      <c r="M26" s="308">
        <v>7.15</v>
      </c>
      <c r="N26" s="308">
        <v>7.1</v>
      </c>
      <c r="O26" s="308">
        <v>7</v>
      </c>
      <c r="P26" s="308">
        <v>6.95</v>
      </c>
      <c r="Q26" s="308">
        <v>6.9</v>
      </c>
      <c r="R26" s="308">
        <v>6.85</v>
      </c>
      <c r="S26" s="308">
        <v>6.8</v>
      </c>
    </row>
    <row r="27" spans="1:19" hidden="1" x14ac:dyDescent="0.25">
      <c r="A27" s="259"/>
      <c r="B27" s="260">
        <v>66</v>
      </c>
      <c r="C27" s="261">
        <v>266</v>
      </c>
      <c r="D27" s="263">
        <v>0</v>
      </c>
      <c r="E27" s="263">
        <v>0</v>
      </c>
      <c r="F27" s="264">
        <v>7.47</v>
      </c>
      <c r="G27" s="264">
        <v>7.4</v>
      </c>
      <c r="H27" s="263">
        <v>7.35</v>
      </c>
      <c r="I27" s="263">
        <v>7.29</v>
      </c>
      <c r="J27" s="263">
        <v>7.24</v>
      </c>
      <c r="K27" s="263">
        <v>7.18</v>
      </c>
      <c r="L27" s="307">
        <v>7.2</v>
      </c>
      <c r="M27" s="308">
        <v>7.15</v>
      </c>
      <c r="N27" s="308">
        <v>7.1</v>
      </c>
      <c r="O27" s="308">
        <v>7</v>
      </c>
      <c r="P27" s="308">
        <v>6.95</v>
      </c>
      <c r="Q27" s="308">
        <v>6.9</v>
      </c>
      <c r="R27" s="308">
        <v>6.85</v>
      </c>
      <c r="S27" s="308">
        <v>6.8</v>
      </c>
    </row>
    <row r="28" spans="1:19" hidden="1" x14ac:dyDescent="0.25">
      <c r="A28" s="259"/>
      <c r="B28" s="260">
        <v>67</v>
      </c>
      <c r="C28" s="261">
        <v>267</v>
      </c>
      <c r="D28" s="263">
        <v>0</v>
      </c>
      <c r="E28" s="264">
        <v>7.73</v>
      </c>
      <c r="F28" s="264">
        <v>7.67</v>
      </c>
      <c r="G28" s="263">
        <v>7.62</v>
      </c>
      <c r="H28" s="263">
        <v>7.57</v>
      </c>
      <c r="I28" s="263">
        <v>7.51</v>
      </c>
      <c r="J28" s="263">
        <v>7.46</v>
      </c>
      <c r="K28" s="263">
        <v>7.4</v>
      </c>
      <c r="L28" s="307">
        <v>7.2</v>
      </c>
      <c r="M28" s="308">
        <v>7.15</v>
      </c>
      <c r="N28" s="308">
        <v>7.1</v>
      </c>
      <c r="O28" s="308">
        <v>7</v>
      </c>
      <c r="P28" s="308">
        <v>6.95</v>
      </c>
      <c r="Q28" s="308">
        <v>6.9</v>
      </c>
      <c r="R28" s="308">
        <v>6.85</v>
      </c>
      <c r="S28" s="308">
        <v>6.8</v>
      </c>
    </row>
    <row r="29" spans="1:19" hidden="1" x14ac:dyDescent="0.25">
      <c r="A29" s="259"/>
      <c r="B29" s="260">
        <v>68</v>
      </c>
      <c r="C29" s="261">
        <v>268</v>
      </c>
      <c r="D29" s="264">
        <v>8.02</v>
      </c>
      <c r="E29" s="264">
        <v>7.96</v>
      </c>
      <c r="F29" s="263">
        <v>7.9</v>
      </c>
      <c r="G29" s="263">
        <v>7.86</v>
      </c>
      <c r="H29" s="263">
        <v>7.81</v>
      </c>
      <c r="I29" s="263">
        <v>7.74</v>
      </c>
      <c r="J29" s="263">
        <v>7.69</v>
      </c>
      <c r="K29" s="263">
        <v>7.63</v>
      </c>
      <c r="L29" s="307">
        <v>7.2</v>
      </c>
      <c r="M29" s="308">
        <v>7.15</v>
      </c>
      <c r="N29" s="308">
        <v>7.1</v>
      </c>
      <c r="O29" s="308">
        <v>7</v>
      </c>
      <c r="P29" s="308">
        <v>6.95</v>
      </c>
      <c r="Q29" s="308">
        <v>6.9</v>
      </c>
      <c r="R29" s="308">
        <v>6.85</v>
      </c>
      <c r="S29" s="308">
        <v>6.8</v>
      </c>
    </row>
    <row r="30" spans="1:19" hidden="1" x14ac:dyDescent="0.25">
      <c r="A30" s="259"/>
      <c r="B30" s="260">
        <v>69</v>
      </c>
      <c r="C30" s="261">
        <v>269</v>
      </c>
      <c r="D30" s="264">
        <v>8.27</v>
      </c>
      <c r="E30" s="263">
        <v>8.2100000000000009</v>
      </c>
      <c r="F30" s="263">
        <v>8.15</v>
      </c>
      <c r="G30" s="263">
        <v>8.1199999999999992</v>
      </c>
      <c r="H30" s="263">
        <v>8.06</v>
      </c>
      <c r="I30" s="263">
        <v>8</v>
      </c>
      <c r="J30" s="263">
        <v>7.94</v>
      </c>
      <c r="K30" s="263">
        <v>7.88</v>
      </c>
      <c r="L30" s="307">
        <v>7.2</v>
      </c>
      <c r="M30" s="308">
        <v>7.15</v>
      </c>
      <c r="N30" s="308">
        <v>7.1</v>
      </c>
      <c r="O30" s="308">
        <v>7</v>
      </c>
      <c r="P30" s="308">
        <v>6.95</v>
      </c>
      <c r="Q30" s="308">
        <v>6.9</v>
      </c>
      <c r="R30" s="308">
        <v>6.85</v>
      </c>
      <c r="S30" s="308">
        <v>6.8</v>
      </c>
    </row>
    <row r="31" spans="1:19" hidden="1" x14ac:dyDescent="0.25">
      <c r="A31" s="259"/>
      <c r="B31" s="260">
        <v>70</v>
      </c>
      <c r="C31" s="261">
        <v>270</v>
      </c>
      <c r="D31" s="263">
        <v>8.5399999999999991</v>
      </c>
      <c r="E31" s="263">
        <v>8.48</v>
      </c>
      <c r="F31" s="263">
        <v>8.42</v>
      </c>
      <c r="G31" s="263">
        <v>8.39</v>
      </c>
      <c r="H31" s="263">
        <v>8.34</v>
      </c>
      <c r="I31" s="263">
        <v>8.27</v>
      </c>
      <c r="J31" s="263">
        <v>8.2200000000000006</v>
      </c>
      <c r="K31" s="263">
        <v>8.15</v>
      </c>
      <c r="L31" s="307">
        <v>7.2</v>
      </c>
      <c r="M31" s="308">
        <v>7.15</v>
      </c>
      <c r="N31" s="308">
        <v>7.1</v>
      </c>
      <c r="O31" s="308">
        <v>7</v>
      </c>
      <c r="P31" s="308">
        <v>6.95</v>
      </c>
      <c r="Q31" s="308">
        <v>6.9</v>
      </c>
      <c r="R31" s="308">
        <v>6.85</v>
      </c>
      <c r="S31" s="308">
        <v>6.8</v>
      </c>
    </row>
    <row r="32" spans="1:19" x14ac:dyDescent="0.25">
      <c r="B32" s="39"/>
    </row>
    <row r="33" spans="1:18" ht="15.6" x14ac:dyDescent="0.3">
      <c r="A33" s="103" t="s">
        <v>1381</v>
      </c>
      <c r="F33" s="231" t="s">
        <v>1393</v>
      </c>
      <c r="H33" s="226"/>
      <c r="I33" s="43"/>
      <c r="J33" s="43"/>
      <c r="K33" s="43"/>
      <c r="L33" s="231" t="s">
        <v>3743</v>
      </c>
    </row>
    <row r="34" spans="1:18" s="41" customFormat="1" ht="12.75" customHeight="1" x14ac:dyDescent="0.2">
      <c r="A34" s="42">
        <v>1</v>
      </c>
      <c r="B34" s="42">
        <v>2</v>
      </c>
      <c r="C34" s="42">
        <v>3</v>
      </c>
      <c r="D34" s="42">
        <v>4</v>
      </c>
      <c r="E34" s="42">
        <v>5</v>
      </c>
      <c r="F34" s="224">
        <v>6</v>
      </c>
      <c r="H34" s="226"/>
      <c r="I34" s="43"/>
      <c r="J34" s="43"/>
      <c r="K34" s="43"/>
    </row>
    <row r="35" spans="1:18" x14ac:dyDescent="0.25">
      <c r="A35" s="40"/>
      <c r="B35" s="222">
        <v>2015</v>
      </c>
      <c r="C35" s="222">
        <v>2016</v>
      </c>
      <c r="D35" s="222">
        <v>2017</v>
      </c>
      <c r="E35" s="222" t="s">
        <v>1061</v>
      </c>
      <c r="F35" s="225"/>
      <c r="H35" s="226"/>
      <c r="I35" s="43"/>
      <c r="J35" s="43"/>
      <c r="K35" s="43"/>
      <c r="M35" s="34" t="s">
        <v>3744</v>
      </c>
    </row>
    <row r="36" spans="1:18" x14ac:dyDescent="0.25">
      <c r="A36" s="254">
        <v>58</v>
      </c>
      <c r="B36" s="255">
        <v>5.75</v>
      </c>
      <c r="C36" s="255">
        <v>5.55</v>
      </c>
      <c r="D36" s="255">
        <v>5.35</v>
      </c>
      <c r="E36" s="255">
        <v>5.15</v>
      </c>
      <c r="F36" s="256">
        <v>5.07</v>
      </c>
      <c r="H36" s="226"/>
      <c r="I36" s="43"/>
      <c r="J36" s="223"/>
      <c r="K36" s="288"/>
      <c r="L36" s="254">
        <v>58</v>
      </c>
      <c r="M36" s="1261">
        <v>4.1100000000000003</v>
      </c>
      <c r="N36" s="228"/>
      <c r="O36" s="228"/>
      <c r="P36" s="289"/>
      <c r="Q36" s="289"/>
      <c r="R36" s="289"/>
    </row>
    <row r="37" spans="1:18" x14ac:dyDescent="0.25">
      <c r="A37" s="254">
        <v>59</v>
      </c>
      <c r="B37" s="255">
        <v>5.95</v>
      </c>
      <c r="C37" s="255">
        <v>5.7</v>
      </c>
      <c r="D37" s="255">
        <v>5.5</v>
      </c>
      <c r="E37" s="255">
        <v>5.3</v>
      </c>
      <c r="F37" s="256">
        <v>5.19</v>
      </c>
      <c r="H37" s="226"/>
      <c r="I37" s="258"/>
      <c r="J37" s="223"/>
      <c r="K37" s="288"/>
      <c r="L37" s="254">
        <v>59</v>
      </c>
      <c r="M37" s="1261">
        <v>4.21</v>
      </c>
      <c r="N37" s="233"/>
      <c r="O37" s="228"/>
      <c r="P37" s="228"/>
      <c r="Q37" s="228"/>
      <c r="R37" s="290"/>
    </row>
    <row r="38" spans="1:18" x14ac:dyDescent="0.25">
      <c r="A38" s="254">
        <v>60</v>
      </c>
      <c r="B38" s="255">
        <v>6.05</v>
      </c>
      <c r="C38" s="255">
        <v>5.85</v>
      </c>
      <c r="D38" s="255">
        <v>5.65</v>
      </c>
      <c r="E38" s="255">
        <v>5.45</v>
      </c>
      <c r="F38" s="256">
        <v>5.31</v>
      </c>
      <c r="H38" s="226"/>
      <c r="I38" s="258"/>
      <c r="J38" s="223"/>
      <c r="K38" s="288"/>
      <c r="L38" s="254">
        <v>60</v>
      </c>
      <c r="M38" s="1261">
        <v>4.32</v>
      </c>
      <c r="N38" s="233"/>
      <c r="O38" s="228"/>
      <c r="P38" s="228"/>
      <c r="Q38" s="228"/>
      <c r="R38" s="290"/>
    </row>
    <row r="39" spans="1:18" x14ac:dyDescent="0.25">
      <c r="A39" s="254">
        <v>61</v>
      </c>
      <c r="B39" s="255">
        <v>6.2</v>
      </c>
      <c r="C39" s="255">
        <v>6</v>
      </c>
      <c r="D39" s="255">
        <v>5.8</v>
      </c>
      <c r="E39" s="255">
        <v>5.6</v>
      </c>
      <c r="F39" s="256">
        <v>5.44</v>
      </c>
      <c r="H39" s="226"/>
      <c r="I39" s="258"/>
      <c r="J39" s="223"/>
      <c r="K39" s="288"/>
      <c r="L39" s="254">
        <v>61</v>
      </c>
      <c r="M39" s="1261">
        <v>4.43</v>
      </c>
      <c r="N39" s="233"/>
      <c r="O39" s="228"/>
      <c r="P39" s="228"/>
      <c r="Q39" s="228"/>
      <c r="R39" s="290"/>
    </row>
    <row r="40" spans="1:18" x14ac:dyDescent="0.25">
      <c r="A40" s="254">
        <v>62</v>
      </c>
      <c r="B40" s="255">
        <v>6.35</v>
      </c>
      <c r="C40" s="255">
        <v>6.15</v>
      </c>
      <c r="D40" s="255">
        <v>5.95</v>
      </c>
      <c r="E40" s="255">
        <v>5.75</v>
      </c>
      <c r="F40" s="256">
        <v>5.57</v>
      </c>
      <c r="H40" s="226"/>
      <c r="I40" s="258"/>
      <c r="J40" s="223"/>
      <c r="K40" s="288"/>
      <c r="L40" s="254">
        <v>62</v>
      </c>
      <c r="M40" s="1261">
        <v>4.54</v>
      </c>
      <c r="N40" s="233"/>
      <c r="O40" s="228"/>
      <c r="P40" s="228"/>
      <c r="Q40" s="228"/>
      <c r="R40" s="290"/>
    </row>
    <row r="41" spans="1:18" x14ac:dyDescent="0.25">
      <c r="A41" s="254">
        <v>63</v>
      </c>
      <c r="B41" s="255">
        <v>6.5</v>
      </c>
      <c r="C41" s="255">
        <v>6.3</v>
      </c>
      <c r="D41" s="255">
        <v>6.1</v>
      </c>
      <c r="E41" s="255">
        <v>5.9</v>
      </c>
      <c r="F41" s="256">
        <v>5.71</v>
      </c>
      <c r="H41" s="227"/>
      <c r="I41" s="258"/>
      <c r="J41" s="223"/>
      <c r="K41" s="288"/>
      <c r="L41" s="254">
        <v>63</v>
      </c>
      <c r="M41" s="1261">
        <v>4.67</v>
      </c>
      <c r="N41" s="233"/>
      <c r="O41" s="290"/>
      <c r="P41" s="289"/>
      <c r="Q41" s="289"/>
      <c r="R41" s="289"/>
    </row>
    <row r="42" spans="1:18" x14ac:dyDescent="0.25">
      <c r="A42" s="254">
        <v>64</v>
      </c>
      <c r="B42" s="255">
        <v>6.65</v>
      </c>
      <c r="C42" s="255">
        <v>6.45</v>
      </c>
      <c r="D42" s="255">
        <v>6.25</v>
      </c>
      <c r="E42" s="255">
        <v>6.05</v>
      </c>
      <c r="F42" s="256">
        <v>5.85</v>
      </c>
      <c r="J42" s="223"/>
      <c r="K42" s="223"/>
      <c r="L42" s="254">
        <v>64</v>
      </c>
      <c r="M42" s="1261">
        <v>4.8</v>
      </c>
      <c r="N42" s="291"/>
      <c r="O42" s="289"/>
      <c r="P42" s="289"/>
      <c r="Q42" s="289"/>
      <c r="R42" s="289"/>
    </row>
    <row r="43" spans="1:18" x14ac:dyDescent="0.25">
      <c r="A43" s="254">
        <v>65</v>
      </c>
      <c r="B43" s="255">
        <v>6.8</v>
      </c>
      <c r="C43" s="255">
        <v>6.6</v>
      </c>
      <c r="D43" s="255">
        <v>6.4</v>
      </c>
      <c r="E43" s="255">
        <v>6.2</v>
      </c>
      <c r="F43" s="256">
        <v>6.01</v>
      </c>
      <c r="L43" s="254">
        <v>65</v>
      </c>
      <c r="M43" s="1262">
        <v>4.93</v>
      </c>
      <c r="N43" s="229"/>
      <c r="O43" s="230"/>
      <c r="P43" s="230"/>
      <c r="Q43" s="230"/>
      <c r="R43" s="230"/>
    </row>
    <row r="44" spans="1:18" x14ac:dyDescent="0.25">
      <c r="A44" s="254">
        <v>66</v>
      </c>
      <c r="B44" s="255">
        <v>6.95</v>
      </c>
      <c r="C44" s="255">
        <v>6.75</v>
      </c>
      <c r="D44" s="255">
        <v>6.55</v>
      </c>
      <c r="E44" s="255">
        <v>6.35</v>
      </c>
      <c r="F44" s="256">
        <v>6.17</v>
      </c>
      <c r="L44" s="254">
        <v>66</v>
      </c>
      <c r="M44" s="1262">
        <v>5.08</v>
      </c>
      <c r="N44" s="229"/>
      <c r="O44" s="230"/>
      <c r="P44" s="230"/>
      <c r="Q44" s="230"/>
      <c r="R44" s="230"/>
    </row>
    <row r="45" spans="1:18" x14ac:dyDescent="0.25">
      <c r="A45" s="254">
        <v>67</v>
      </c>
      <c r="B45" s="255">
        <v>7.1</v>
      </c>
      <c r="C45" s="255">
        <v>6.9</v>
      </c>
      <c r="D45" s="255">
        <v>6.7</v>
      </c>
      <c r="E45" s="255">
        <v>6.5</v>
      </c>
      <c r="F45" s="256">
        <v>6.34</v>
      </c>
      <c r="L45" s="254">
        <v>67</v>
      </c>
      <c r="M45" s="1262">
        <v>5.24</v>
      </c>
    </row>
    <row r="46" spans="1:18" x14ac:dyDescent="0.25">
      <c r="A46" s="254">
        <v>68</v>
      </c>
      <c r="B46" s="255">
        <v>7.25</v>
      </c>
      <c r="C46" s="255">
        <v>7.05</v>
      </c>
      <c r="D46" s="255">
        <v>6.85</v>
      </c>
      <c r="E46" s="255">
        <v>6.6499999999999897</v>
      </c>
      <c r="F46" s="256">
        <v>6.53</v>
      </c>
      <c r="L46" s="254">
        <v>68</v>
      </c>
      <c r="M46" s="1262">
        <v>5.41</v>
      </c>
    </row>
    <row r="47" spans="1:18" x14ac:dyDescent="0.25">
      <c r="A47" s="254">
        <v>69</v>
      </c>
      <c r="B47" s="255">
        <v>7.4</v>
      </c>
      <c r="C47" s="255">
        <v>7.2</v>
      </c>
      <c r="D47" s="255">
        <v>7</v>
      </c>
      <c r="E47" s="255">
        <v>6.7999999999999901</v>
      </c>
      <c r="F47" s="256">
        <v>6.73</v>
      </c>
      <c r="L47" s="254">
        <v>69</v>
      </c>
      <c r="M47" s="1262">
        <v>5.6</v>
      </c>
    </row>
    <row r="48" spans="1:18" x14ac:dyDescent="0.25">
      <c r="A48" s="254">
        <v>70</v>
      </c>
      <c r="B48" s="255">
        <v>7.55</v>
      </c>
      <c r="C48" s="255">
        <v>7.35</v>
      </c>
      <c r="D48" s="255">
        <v>7.15</v>
      </c>
      <c r="E48" s="255">
        <v>6.9499999999999904</v>
      </c>
      <c r="F48" s="256">
        <v>6.95</v>
      </c>
      <c r="L48" s="254">
        <v>70</v>
      </c>
      <c r="M48" s="1262">
        <v>5.8</v>
      </c>
    </row>
    <row r="49" spans="1:240" x14ac:dyDescent="0.25">
      <c r="B49" s="223"/>
      <c r="C49" s="223"/>
      <c r="D49" s="223"/>
      <c r="E49" s="223"/>
      <c r="F49" s="223"/>
    </row>
    <row r="50" spans="1:240" ht="13.8" thickBot="1" x14ac:dyDescent="0.3">
      <c r="A50" s="43"/>
      <c r="B50" s="236" t="s">
        <v>1376</v>
      </c>
      <c r="C50" s="237" t="s">
        <v>1377</v>
      </c>
      <c r="D50" s="236"/>
      <c r="E50" s="237" t="s">
        <v>1371</v>
      </c>
      <c r="F50" s="238">
        <v>2011</v>
      </c>
      <c r="G50" s="238">
        <v>2012</v>
      </c>
      <c r="H50" s="239">
        <v>2013</v>
      </c>
      <c r="I50" s="239">
        <v>2014</v>
      </c>
      <c r="J50" s="239" t="s">
        <v>1373</v>
      </c>
    </row>
    <row r="51" spans="1:240" x14ac:dyDescent="0.25">
      <c r="A51" s="258" t="s">
        <v>1394</v>
      </c>
      <c r="B51" s="33" t="s">
        <v>1315</v>
      </c>
      <c r="C51" s="232" t="s">
        <v>1372</v>
      </c>
      <c r="E51" s="232" t="s">
        <v>1372</v>
      </c>
      <c r="F51" s="295" t="s">
        <v>1382</v>
      </c>
      <c r="G51" s="298" t="s">
        <v>1382</v>
      </c>
      <c r="H51" s="298" t="s">
        <v>1382</v>
      </c>
      <c r="I51" s="298" t="s">
        <v>1382</v>
      </c>
      <c r="J51" s="301">
        <v>2</v>
      </c>
    </row>
    <row r="52" spans="1:240" x14ac:dyDescent="0.25">
      <c r="A52" s="258" t="s">
        <v>1394</v>
      </c>
      <c r="B52" s="33" t="s">
        <v>1370</v>
      </c>
      <c r="C52" s="232">
        <v>-50</v>
      </c>
      <c r="E52" s="232" t="s">
        <v>1374</v>
      </c>
      <c r="F52" s="295" t="s">
        <v>1382</v>
      </c>
      <c r="G52" s="298" t="s">
        <v>1382</v>
      </c>
      <c r="H52" s="298" t="s">
        <v>1382</v>
      </c>
      <c r="I52" s="298" t="s">
        <v>1382</v>
      </c>
      <c r="J52" s="301">
        <v>2</v>
      </c>
    </row>
    <row r="53" spans="1:240" x14ac:dyDescent="0.25">
      <c r="A53" s="258" t="s">
        <v>1394</v>
      </c>
      <c r="B53" s="234" t="s">
        <v>1370</v>
      </c>
      <c r="C53" s="235">
        <v>-50</v>
      </c>
      <c r="D53" s="234"/>
      <c r="E53" s="235" t="s">
        <v>1375</v>
      </c>
      <c r="F53" s="296" t="s">
        <v>1382</v>
      </c>
      <c r="G53" s="299" t="s">
        <v>1382</v>
      </c>
      <c r="H53" s="299" t="s">
        <v>1382</v>
      </c>
      <c r="I53" s="299" t="s">
        <v>1382</v>
      </c>
      <c r="J53" s="302">
        <v>2</v>
      </c>
    </row>
    <row r="54" spans="1:240" x14ac:dyDescent="0.25">
      <c r="A54" s="258" t="s">
        <v>1395</v>
      </c>
      <c r="B54" s="240" t="s">
        <v>1370</v>
      </c>
      <c r="C54" s="241" t="s">
        <v>1316</v>
      </c>
      <c r="D54" s="240"/>
      <c r="E54" s="241" t="s">
        <v>1374</v>
      </c>
      <c r="F54" s="297" t="s">
        <v>1382</v>
      </c>
      <c r="G54" s="300" t="s">
        <v>1382</v>
      </c>
      <c r="H54" s="300" t="s">
        <v>1382</v>
      </c>
      <c r="I54" s="300" t="s">
        <v>1382</v>
      </c>
      <c r="J54" s="292">
        <v>3</v>
      </c>
    </row>
    <row r="55" spans="1:240" x14ac:dyDescent="0.25">
      <c r="A55" s="258" t="s">
        <v>1396</v>
      </c>
      <c r="B55" s="33" t="s">
        <v>1370</v>
      </c>
      <c r="C55" s="232" t="s">
        <v>1316</v>
      </c>
      <c r="E55" s="232" t="s">
        <v>1375</v>
      </c>
      <c r="F55" s="303" t="s">
        <v>1382</v>
      </c>
      <c r="G55" s="294">
        <v>3</v>
      </c>
      <c r="H55" s="293">
        <v>3</v>
      </c>
      <c r="I55" s="293">
        <v>3</v>
      </c>
      <c r="J55" s="293">
        <v>3</v>
      </c>
    </row>
    <row r="56" spans="1:240" s="1258" customFormat="1" x14ac:dyDescent="0.25">
      <c r="A56" s="258" t="s">
        <v>3740</v>
      </c>
      <c r="B56" s="1258" t="s">
        <v>1370</v>
      </c>
      <c r="C56" s="232" t="s">
        <v>3741</v>
      </c>
      <c r="E56" s="232" t="s">
        <v>3742</v>
      </c>
      <c r="F56" s="295"/>
      <c r="G56" s="105"/>
      <c r="H56" s="230"/>
      <c r="I56" s="230"/>
      <c r="J56" s="1260">
        <v>4</v>
      </c>
    </row>
    <row r="57" spans="1:240" x14ac:dyDescent="0.25">
      <c r="B57" s="223"/>
      <c r="C57" s="223"/>
      <c r="D57" s="223"/>
      <c r="E57" s="223"/>
      <c r="F57" s="223"/>
    </row>
    <row r="58" spans="1:240" x14ac:dyDescent="0.25">
      <c r="B58" s="223"/>
      <c r="C58" s="223"/>
      <c r="D58" s="223"/>
      <c r="E58" s="223"/>
      <c r="F58" s="223"/>
    </row>
    <row r="59" spans="1:240" x14ac:dyDescent="0.25">
      <c r="A59" s="244">
        <f>YEAR(Input!E11)</f>
        <v>1985</v>
      </c>
      <c r="B59" s="33" t="s">
        <v>1392</v>
      </c>
      <c r="C59" s="244">
        <f>IF(A59&gt;1948,10,A59-1939)</f>
        <v>10</v>
      </c>
      <c r="F59" s="229"/>
      <c r="G59" s="229"/>
      <c r="H59" s="229"/>
      <c r="I59" s="229"/>
      <c r="J59" s="229"/>
      <c r="K59" s="229"/>
    </row>
    <row r="60" spans="1:240" x14ac:dyDescent="0.25">
      <c r="A60" s="244">
        <f>Input!K3*100</f>
        <v>200</v>
      </c>
      <c r="B60" s="33" t="s">
        <v>964</v>
      </c>
      <c r="C60" s="223"/>
      <c r="F60" s="229"/>
      <c r="G60" s="229"/>
      <c r="H60" s="229"/>
      <c r="I60" s="229"/>
      <c r="J60" s="229"/>
      <c r="K60" s="229"/>
    </row>
    <row r="61" spans="1:240" s="246" customFormat="1" x14ac:dyDescent="0.25">
      <c r="A61" s="247">
        <f>IF(Input!K5=4,Input!K5,Input!K6)</f>
        <v>1</v>
      </c>
      <c r="B61" s="248" t="s">
        <v>1391</v>
      </c>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c r="AV61" s="275"/>
      <c r="AW61" s="275"/>
      <c r="AX61" s="275"/>
      <c r="AY61" s="275"/>
      <c r="AZ61" s="275"/>
      <c r="BA61" s="275"/>
      <c r="BB61" s="275"/>
      <c r="BC61" s="275"/>
      <c r="BD61" s="275"/>
      <c r="BE61" s="275"/>
      <c r="BF61" s="275"/>
      <c r="BG61" s="275"/>
      <c r="BH61" s="275"/>
      <c r="BI61" s="275"/>
      <c r="BJ61" s="275"/>
      <c r="BK61" s="275"/>
      <c r="BL61" s="275"/>
      <c r="BM61" s="275"/>
      <c r="BN61" s="275"/>
      <c r="BO61" s="275"/>
      <c r="BP61" s="275"/>
      <c r="BQ61" s="275"/>
      <c r="BR61" s="275"/>
      <c r="BS61" s="275"/>
      <c r="BT61" s="275"/>
      <c r="BU61" s="275"/>
      <c r="BV61" s="275"/>
      <c r="BW61" s="275"/>
      <c r="BX61" s="275"/>
      <c r="BY61" s="275"/>
      <c r="BZ61" s="275"/>
      <c r="CA61" s="275"/>
      <c r="CB61" s="275"/>
      <c r="CC61" s="275"/>
      <c r="CD61" s="275"/>
      <c r="CE61" s="275"/>
      <c r="CF61" s="275"/>
      <c r="CG61" s="275"/>
      <c r="CH61" s="275"/>
      <c r="CI61" s="275"/>
      <c r="CJ61" s="275"/>
      <c r="CK61" s="275"/>
      <c r="CL61" s="275"/>
      <c r="CM61" s="275"/>
      <c r="CN61" s="275"/>
      <c r="CO61" s="275"/>
      <c r="CP61" s="275"/>
      <c r="CQ61" s="275"/>
      <c r="CR61" s="275"/>
      <c r="CS61" s="275"/>
      <c r="CT61" s="275"/>
      <c r="CU61" s="275"/>
      <c r="CV61" s="275"/>
      <c r="CW61" s="275"/>
      <c r="CX61" s="275"/>
      <c r="CY61" s="275"/>
      <c r="CZ61" s="275"/>
      <c r="DA61" s="275"/>
      <c r="DB61" s="275"/>
      <c r="DC61" s="275"/>
      <c r="DD61" s="275"/>
      <c r="DE61" s="275"/>
      <c r="DF61" s="275"/>
      <c r="DG61" s="275"/>
      <c r="DH61" s="275"/>
      <c r="DI61" s="275"/>
      <c r="DJ61" s="275"/>
      <c r="DK61" s="275"/>
      <c r="DL61" s="275"/>
      <c r="DM61" s="275"/>
      <c r="DN61" s="275"/>
      <c r="DO61" s="275"/>
      <c r="DP61" s="275"/>
      <c r="DQ61" s="275"/>
      <c r="DR61" s="275"/>
      <c r="DS61" s="275"/>
      <c r="DT61" s="275"/>
      <c r="DU61" s="275"/>
      <c r="DV61" s="275"/>
      <c r="DW61" s="275"/>
      <c r="DX61" s="275"/>
      <c r="DY61" s="275"/>
      <c r="DZ61" s="275"/>
      <c r="EA61" s="275"/>
      <c r="EB61" s="275"/>
      <c r="EC61" s="275"/>
      <c r="ED61" s="275"/>
      <c r="EE61" s="275"/>
      <c r="EF61" s="275"/>
      <c r="EG61" s="275"/>
      <c r="EH61" s="275"/>
      <c r="EI61" s="275"/>
      <c r="EJ61" s="275"/>
      <c r="EK61" s="275"/>
      <c r="EL61" s="275"/>
      <c r="EM61" s="275"/>
      <c r="EN61" s="275"/>
      <c r="EO61" s="275"/>
      <c r="EP61" s="275"/>
      <c r="EQ61" s="275"/>
      <c r="ER61" s="275"/>
      <c r="ES61" s="275"/>
      <c r="ET61" s="275"/>
      <c r="EU61" s="275"/>
      <c r="EV61" s="275"/>
      <c r="EW61" s="275"/>
      <c r="EX61" s="275"/>
      <c r="EY61" s="275"/>
      <c r="EZ61" s="275"/>
      <c r="FA61" s="275"/>
      <c r="FB61" s="275"/>
      <c r="FC61" s="275"/>
      <c r="FD61" s="275"/>
      <c r="FE61" s="275"/>
      <c r="FF61" s="275"/>
      <c r="FG61" s="275"/>
      <c r="FH61" s="275"/>
      <c r="FI61" s="275"/>
      <c r="FJ61" s="275"/>
      <c r="FK61" s="275"/>
      <c r="FL61" s="275"/>
      <c r="FM61" s="275"/>
      <c r="FN61" s="275"/>
      <c r="FO61" s="275"/>
      <c r="FP61" s="275"/>
      <c r="FQ61" s="275"/>
      <c r="FR61" s="275"/>
      <c r="FS61" s="275"/>
      <c r="FT61" s="275"/>
      <c r="FU61" s="275"/>
      <c r="FV61" s="275"/>
      <c r="FW61" s="275"/>
      <c r="FX61" s="275"/>
      <c r="FY61" s="275"/>
      <c r="FZ61" s="275"/>
      <c r="GA61" s="275"/>
      <c r="GB61" s="275"/>
      <c r="GC61" s="275"/>
      <c r="GD61" s="275"/>
      <c r="GE61" s="275"/>
      <c r="GF61" s="275"/>
      <c r="GG61" s="275"/>
      <c r="GH61" s="275"/>
      <c r="GI61" s="275"/>
      <c r="GJ61" s="275"/>
      <c r="GK61" s="275"/>
      <c r="GL61" s="275"/>
      <c r="GM61" s="275"/>
      <c r="GN61" s="275"/>
      <c r="GO61" s="275"/>
      <c r="GP61" s="275"/>
      <c r="GQ61" s="275"/>
      <c r="GR61" s="275"/>
      <c r="GS61" s="275"/>
      <c r="GT61" s="275"/>
      <c r="GU61" s="275"/>
      <c r="GV61" s="275"/>
      <c r="GW61" s="275"/>
      <c r="GX61" s="275"/>
      <c r="GY61" s="275"/>
      <c r="GZ61" s="275"/>
      <c r="HA61" s="275"/>
      <c r="HB61" s="275"/>
      <c r="HC61" s="275"/>
      <c r="HD61" s="275"/>
      <c r="HE61" s="275"/>
      <c r="HF61" s="275"/>
      <c r="HG61" s="275"/>
      <c r="HH61" s="275"/>
      <c r="HI61" s="275"/>
      <c r="HJ61" s="275"/>
      <c r="HK61" s="275"/>
      <c r="HL61" s="275"/>
      <c r="HM61" s="275"/>
      <c r="HN61" s="275"/>
      <c r="HO61" s="275"/>
      <c r="HP61" s="275"/>
      <c r="HQ61" s="275"/>
      <c r="HR61" s="275"/>
      <c r="HS61" s="275"/>
      <c r="HT61" s="275"/>
      <c r="HU61" s="275"/>
      <c r="HV61" s="275"/>
      <c r="HW61" s="275"/>
      <c r="HX61" s="275"/>
      <c r="HY61" s="275"/>
      <c r="HZ61" s="275"/>
      <c r="IA61" s="275"/>
      <c r="IB61" s="275"/>
      <c r="IC61" s="275"/>
      <c r="ID61" s="275"/>
      <c r="IE61" s="275"/>
      <c r="IF61" s="275"/>
    </row>
    <row r="62" spans="1:240" s="42" customFormat="1" ht="13.8" thickBot="1" x14ac:dyDescent="0.3">
      <c r="A62" s="247">
        <f>Input!O3</f>
        <v>2</v>
      </c>
      <c r="B62" s="248" t="s">
        <v>2111</v>
      </c>
      <c r="D62" s="42">
        <v>1</v>
      </c>
      <c r="E62" s="42">
        <v>2</v>
      </c>
      <c r="F62" s="42">
        <v>3</v>
      </c>
      <c r="G62" s="42">
        <v>4</v>
      </c>
      <c r="H62" s="42">
        <v>5</v>
      </c>
      <c r="I62" s="42">
        <v>6</v>
      </c>
      <c r="J62" s="42">
        <v>7</v>
      </c>
      <c r="K62" s="42">
        <v>8</v>
      </c>
      <c r="L62" s="42">
        <v>9</v>
      </c>
      <c r="M62" s="42">
        <v>10</v>
      </c>
      <c r="N62" s="42">
        <v>11</v>
      </c>
      <c r="O62" s="42">
        <v>12</v>
      </c>
      <c r="P62" s="42">
        <v>13</v>
      </c>
      <c r="Q62" s="42">
        <v>14</v>
      </c>
      <c r="R62" s="42">
        <v>15</v>
      </c>
      <c r="S62" s="42">
        <v>16</v>
      </c>
      <c r="T62" s="42">
        <v>17</v>
      </c>
      <c r="U62" s="42">
        <v>18</v>
      </c>
      <c r="V62" s="42">
        <v>19</v>
      </c>
      <c r="W62" s="42">
        <v>20</v>
      </c>
      <c r="X62" s="42">
        <v>21</v>
      </c>
      <c r="Y62" s="42">
        <v>22</v>
      </c>
      <c r="Z62" s="42">
        <v>23</v>
      </c>
      <c r="AA62" s="42">
        <v>24</v>
      </c>
      <c r="AB62" s="42">
        <v>25</v>
      </c>
      <c r="AC62" s="42">
        <v>26</v>
      </c>
      <c r="AD62" s="42">
        <v>27</v>
      </c>
      <c r="AE62" s="42">
        <v>28</v>
      </c>
      <c r="AF62" s="42">
        <v>29</v>
      </c>
      <c r="AG62" s="42">
        <v>30</v>
      </c>
      <c r="AH62" s="42">
        <v>31</v>
      </c>
      <c r="AI62" s="42">
        <v>32</v>
      </c>
      <c r="AJ62" s="42">
        <v>33</v>
      </c>
      <c r="AK62" s="42">
        <v>34</v>
      </c>
      <c r="AL62" s="42">
        <v>35</v>
      </c>
      <c r="AM62" s="42">
        <v>36</v>
      </c>
      <c r="AN62" s="42">
        <v>37</v>
      </c>
    </row>
    <row r="63" spans="1:240" s="104" customFormat="1" x14ac:dyDescent="0.25">
      <c r="A63" s="276"/>
      <c r="B63" s="248" t="str">
        <f>IF(A62=1,"(vor 2017)","(ab 2017)")</f>
        <v>(ab 2017)</v>
      </c>
      <c r="E63" s="278"/>
      <c r="F63" s="279">
        <v>2011</v>
      </c>
      <c r="G63" s="280"/>
      <c r="H63" s="278"/>
      <c r="I63" s="279">
        <v>2012</v>
      </c>
      <c r="J63" s="280"/>
      <c r="K63" s="278"/>
      <c r="L63" s="279">
        <v>2013</v>
      </c>
      <c r="M63" s="280"/>
      <c r="N63" s="278"/>
      <c r="O63" s="279">
        <v>2014</v>
      </c>
      <c r="P63" s="280"/>
      <c r="Q63" s="278"/>
      <c r="R63" s="279">
        <v>2015</v>
      </c>
      <c r="S63" s="280"/>
      <c r="T63" s="278"/>
      <c r="U63" s="279">
        <v>2016</v>
      </c>
      <c r="V63" s="280"/>
      <c r="W63" s="278"/>
      <c r="X63" s="279">
        <v>2017</v>
      </c>
      <c r="Y63" s="280"/>
      <c r="Z63" s="278"/>
      <c r="AA63" s="279">
        <v>2018</v>
      </c>
      <c r="AB63" s="280"/>
      <c r="AC63" s="278"/>
      <c r="AD63" s="279">
        <v>2019</v>
      </c>
      <c r="AE63" s="280"/>
      <c r="AF63" s="278"/>
      <c r="AG63" s="279">
        <v>2020</v>
      </c>
      <c r="AH63" s="280"/>
      <c r="AI63" s="278"/>
      <c r="AJ63" s="279">
        <v>2021</v>
      </c>
      <c r="AK63" s="280"/>
      <c r="AL63" s="278"/>
      <c r="AM63" s="279" t="s">
        <v>2031</v>
      </c>
      <c r="AN63" s="280"/>
    </row>
    <row r="64" spans="1:240" s="40" customFormat="1" ht="13.8" thickBot="1" x14ac:dyDescent="0.3">
      <c r="E64" s="281" t="s">
        <v>1394</v>
      </c>
      <c r="F64" s="282" t="s">
        <v>1395</v>
      </c>
      <c r="G64" s="283" t="s">
        <v>1396</v>
      </c>
      <c r="H64" s="281" t="s">
        <v>1394</v>
      </c>
      <c r="I64" s="282" t="s">
        <v>1395</v>
      </c>
      <c r="J64" s="283" t="s">
        <v>1396</v>
      </c>
      <c r="K64" s="281" t="s">
        <v>1394</v>
      </c>
      <c r="L64" s="282" t="s">
        <v>1395</v>
      </c>
      <c r="M64" s="283" t="s">
        <v>1396</v>
      </c>
      <c r="N64" s="281" t="s">
        <v>1394</v>
      </c>
      <c r="O64" s="282" t="s">
        <v>1395</v>
      </c>
      <c r="P64" s="283" t="s">
        <v>1396</v>
      </c>
      <c r="Q64" s="281" t="s">
        <v>1394</v>
      </c>
      <c r="R64" s="282" t="s">
        <v>1395</v>
      </c>
      <c r="S64" s="283" t="s">
        <v>1396</v>
      </c>
      <c r="T64" s="281" t="s">
        <v>1394</v>
      </c>
      <c r="U64" s="282" t="s">
        <v>1395</v>
      </c>
      <c r="V64" s="283" t="s">
        <v>1396</v>
      </c>
      <c r="W64" s="281" t="s">
        <v>1394</v>
      </c>
      <c r="X64" s="282" t="s">
        <v>1395</v>
      </c>
      <c r="Y64" s="283" t="s">
        <v>1396</v>
      </c>
      <c r="Z64" s="281" t="s">
        <v>1394</v>
      </c>
      <c r="AA64" s="282" t="s">
        <v>1395</v>
      </c>
      <c r="AB64" s="283" t="s">
        <v>1396</v>
      </c>
      <c r="AC64" s="281" t="s">
        <v>1394</v>
      </c>
      <c r="AD64" s="282" t="s">
        <v>1395</v>
      </c>
      <c r="AE64" s="283" t="s">
        <v>1396</v>
      </c>
      <c r="AF64" s="281" t="s">
        <v>1394</v>
      </c>
      <c r="AG64" s="282" t="s">
        <v>1395</v>
      </c>
      <c r="AH64" s="283" t="s">
        <v>1396</v>
      </c>
      <c r="AI64" s="281" t="s">
        <v>1394</v>
      </c>
      <c r="AJ64" s="282" t="s">
        <v>1395</v>
      </c>
      <c r="AK64" s="283" t="s">
        <v>1396</v>
      </c>
      <c r="AL64" s="281" t="s">
        <v>1394</v>
      </c>
      <c r="AM64" s="282" t="s">
        <v>1395</v>
      </c>
      <c r="AN64" s="283" t="s">
        <v>1396</v>
      </c>
      <c r="AO64" s="104"/>
      <c r="AP64" s="104"/>
      <c r="AQ64" s="104"/>
      <c r="AR64" s="104"/>
      <c r="AS64" s="104"/>
      <c r="AT64" s="104"/>
      <c r="AU64" s="104"/>
      <c r="AV64" s="104"/>
      <c r="AW64" s="104"/>
      <c r="AX64" s="104"/>
      <c r="AY64" s="104"/>
      <c r="AZ64" s="104"/>
    </row>
    <row r="65" spans="1:52" ht="13.5" customHeight="1" x14ac:dyDescent="0.25">
      <c r="A65" s="34" t="s">
        <v>1094</v>
      </c>
      <c r="B65" s="34">
        <v>58</v>
      </c>
      <c r="C65" s="34">
        <f>YEAR(Input!$E$11)+Leistungen!B65</f>
        <v>2043</v>
      </c>
      <c r="D65" s="277">
        <v>158</v>
      </c>
      <c r="E65" s="257"/>
      <c r="F65" s="257"/>
      <c r="G65" s="257"/>
      <c r="H65" s="257"/>
      <c r="I65" s="257"/>
      <c r="J65" s="272"/>
      <c r="K65" s="257"/>
      <c r="L65" s="257"/>
      <c r="M65" s="272"/>
      <c r="N65" s="257"/>
      <c r="O65" s="257"/>
      <c r="P65" s="272"/>
      <c r="Q65" s="266">
        <f t="shared" ref="Q65:Q90" si="0">VLOOKUP($B65,$A$36:$E$48,2)</f>
        <v>5.75</v>
      </c>
      <c r="R65" s="272">
        <f t="shared" ref="R65:S90" si="1">VLOOKUP($B65,$A$36:$F$48,6)</f>
        <v>5.07</v>
      </c>
      <c r="S65" s="272">
        <f t="shared" si="1"/>
        <v>5.07</v>
      </c>
      <c r="T65" s="266">
        <f t="shared" ref="T65:T90" si="2">VLOOKUP($B65,$A$36:$E$48,3)</f>
        <v>5.55</v>
      </c>
      <c r="U65" s="272">
        <f t="shared" ref="U65:V90" si="3">VLOOKUP($B65,$A$36:$F$48,6)</f>
        <v>5.07</v>
      </c>
      <c r="V65" s="272">
        <f t="shared" si="3"/>
        <v>5.07</v>
      </c>
      <c r="W65" s="266">
        <f t="shared" ref="W65:W90" si="4">VLOOKUP($B65,$A$36:$E$48,4)</f>
        <v>5.35</v>
      </c>
      <c r="X65" s="272">
        <f t="shared" ref="X65:Y90" si="5">VLOOKUP($B65,$A$36:$F$48,6)</f>
        <v>5.07</v>
      </c>
      <c r="Y65" s="272">
        <f t="shared" si="5"/>
        <v>5.07</v>
      </c>
      <c r="Z65" s="266">
        <f t="shared" ref="Z65:Z90" si="6">VLOOKUP($B65,$A$36:$E$48,5)</f>
        <v>5.15</v>
      </c>
      <c r="AA65" s="272">
        <f t="shared" ref="AA65:AB90" si="7">VLOOKUP($B65,$A$36:$F$48,6)</f>
        <v>5.07</v>
      </c>
      <c r="AB65" s="272">
        <f t="shared" si="7"/>
        <v>5.07</v>
      </c>
      <c r="AC65" s="266">
        <v>4.95</v>
      </c>
      <c r="AD65" s="272">
        <v>4.95</v>
      </c>
      <c r="AE65" s="272">
        <v>4.95</v>
      </c>
      <c r="AF65" s="266">
        <v>4.75</v>
      </c>
      <c r="AG65" s="272">
        <v>4.75</v>
      </c>
      <c r="AH65" s="272">
        <v>4.75</v>
      </c>
      <c r="AI65" s="266">
        <v>4.55</v>
      </c>
      <c r="AJ65" s="272">
        <v>4.55</v>
      </c>
      <c r="AK65" s="272">
        <v>4.55</v>
      </c>
      <c r="AL65" s="266">
        <v>4.3499999999999996</v>
      </c>
      <c r="AM65" s="272">
        <v>4.3499999999999996</v>
      </c>
      <c r="AN65" s="946">
        <v>4.3499999999999996</v>
      </c>
      <c r="AO65" s="245"/>
      <c r="AP65" s="245"/>
      <c r="AQ65" s="245"/>
      <c r="AR65" s="245"/>
      <c r="AS65" s="245"/>
      <c r="AT65" s="245"/>
      <c r="AU65" s="245"/>
      <c r="AV65" s="245"/>
      <c r="AW65" s="245"/>
      <c r="AX65" s="245"/>
      <c r="AY65" s="245"/>
      <c r="AZ65" s="245"/>
    </row>
    <row r="66" spans="1:52" ht="13.5" customHeight="1" x14ac:dyDescent="0.25">
      <c r="B66" s="34">
        <v>59</v>
      </c>
      <c r="C66" s="34">
        <f>YEAR(Input!$E$11)+Leistungen!B66</f>
        <v>2044</v>
      </c>
      <c r="D66" s="277">
        <v>159</v>
      </c>
      <c r="E66" s="257"/>
      <c r="F66" s="257"/>
      <c r="G66" s="257"/>
      <c r="H66" s="257"/>
      <c r="I66" s="257"/>
      <c r="J66" s="272"/>
      <c r="K66" s="257"/>
      <c r="L66" s="257"/>
      <c r="M66" s="272"/>
      <c r="N66" s="257"/>
      <c r="O66" s="257"/>
      <c r="P66" s="272"/>
      <c r="Q66" s="266">
        <f t="shared" si="0"/>
        <v>5.95</v>
      </c>
      <c r="R66" s="272">
        <f t="shared" si="1"/>
        <v>5.19</v>
      </c>
      <c r="S66" s="272">
        <f t="shared" si="1"/>
        <v>5.19</v>
      </c>
      <c r="T66" s="266">
        <f t="shared" si="2"/>
        <v>5.7</v>
      </c>
      <c r="U66" s="272">
        <f t="shared" si="3"/>
        <v>5.19</v>
      </c>
      <c r="V66" s="272">
        <f t="shared" si="3"/>
        <v>5.19</v>
      </c>
      <c r="W66" s="266">
        <f t="shared" si="4"/>
        <v>5.5</v>
      </c>
      <c r="X66" s="272">
        <f t="shared" si="5"/>
        <v>5.19</v>
      </c>
      <c r="Y66" s="272">
        <f t="shared" si="5"/>
        <v>5.19</v>
      </c>
      <c r="Z66" s="266">
        <f t="shared" si="6"/>
        <v>5.3</v>
      </c>
      <c r="AA66" s="272">
        <f t="shared" si="7"/>
        <v>5.19</v>
      </c>
      <c r="AB66" s="272">
        <f t="shared" si="7"/>
        <v>5.19</v>
      </c>
      <c r="AC66" s="266">
        <v>5.0999999999999996</v>
      </c>
      <c r="AD66" s="272">
        <v>5.0999999999999996</v>
      </c>
      <c r="AE66" s="272">
        <v>5.0999999999999996</v>
      </c>
      <c r="AF66" s="266">
        <v>4.9000000000000004</v>
      </c>
      <c r="AG66" s="272">
        <v>4.9000000000000004</v>
      </c>
      <c r="AH66" s="272">
        <v>4.9000000000000004</v>
      </c>
      <c r="AI66" s="266">
        <v>4.7</v>
      </c>
      <c r="AJ66" s="272">
        <v>4.7</v>
      </c>
      <c r="AK66" s="272">
        <v>4.7</v>
      </c>
      <c r="AL66" s="266">
        <v>4.5</v>
      </c>
      <c r="AM66" s="272">
        <v>4.5</v>
      </c>
      <c r="AN66" s="272">
        <v>4.5</v>
      </c>
      <c r="AO66" s="245"/>
      <c r="AP66" s="245"/>
      <c r="AQ66" s="245"/>
      <c r="AR66" s="245"/>
      <c r="AS66" s="245"/>
      <c r="AT66" s="245"/>
      <c r="AU66" s="245"/>
      <c r="AV66" s="245"/>
      <c r="AW66" s="245"/>
      <c r="AX66" s="245"/>
      <c r="AY66" s="245"/>
      <c r="AZ66" s="245"/>
    </row>
    <row r="67" spans="1:52" ht="13.5" customHeight="1" x14ac:dyDescent="0.25">
      <c r="B67" s="34">
        <v>60</v>
      </c>
      <c r="C67" s="34">
        <f>YEAR(Input!$E$11)+Leistungen!B67</f>
        <v>2045</v>
      </c>
      <c r="D67" s="277">
        <v>160</v>
      </c>
      <c r="E67" s="257"/>
      <c r="F67" s="257"/>
      <c r="G67" s="257"/>
      <c r="H67" s="257"/>
      <c r="I67" s="257"/>
      <c r="J67" s="272"/>
      <c r="K67" s="257"/>
      <c r="L67" s="257"/>
      <c r="M67" s="272"/>
      <c r="N67" s="257"/>
      <c r="O67" s="257"/>
      <c r="P67" s="272"/>
      <c r="Q67" s="266">
        <f t="shared" si="0"/>
        <v>6.05</v>
      </c>
      <c r="R67" s="272">
        <f t="shared" si="1"/>
        <v>5.31</v>
      </c>
      <c r="S67" s="272">
        <f t="shared" si="1"/>
        <v>5.31</v>
      </c>
      <c r="T67" s="266">
        <f t="shared" si="2"/>
        <v>5.85</v>
      </c>
      <c r="U67" s="272">
        <f t="shared" si="3"/>
        <v>5.31</v>
      </c>
      <c r="V67" s="272">
        <f t="shared" si="3"/>
        <v>5.31</v>
      </c>
      <c r="W67" s="266">
        <f t="shared" si="4"/>
        <v>5.65</v>
      </c>
      <c r="X67" s="272">
        <f t="shared" si="5"/>
        <v>5.31</v>
      </c>
      <c r="Y67" s="272">
        <f t="shared" si="5"/>
        <v>5.31</v>
      </c>
      <c r="Z67" s="266">
        <f t="shared" si="6"/>
        <v>5.45</v>
      </c>
      <c r="AA67" s="272">
        <f t="shared" si="7"/>
        <v>5.31</v>
      </c>
      <c r="AB67" s="272">
        <f t="shared" si="7"/>
        <v>5.31</v>
      </c>
      <c r="AC67" s="266">
        <v>5.25</v>
      </c>
      <c r="AD67" s="272">
        <v>5.25</v>
      </c>
      <c r="AE67" s="272">
        <v>5.25</v>
      </c>
      <c r="AF67" s="266">
        <v>5.05</v>
      </c>
      <c r="AG67" s="272">
        <v>5.05</v>
      </c>
      <c r="AH67" s="272">
        <v>5.05</v>
      </c>
      <c r="AI67" s="266">
        <v>4.8499999999999996</v>
      </c>
      <c r="AJ67" s="272">
        <v>4.8499999999999996</v>
      </c>
      <c r="AK67" s="272">
        <v>4.8499999999999996</v>
      </c>
      <c r="AL67" s="266">
        <v>4.6500000000000004</v>
      </c>
      <c r="AM67" s="272">
        <v>4.6500000000000004</v>
      </c>
      <c r="AN67" s="272">
        <v>4.6500000000000004</v>
      </c>
      <c r="AO67" s="245"/>
      <c r="AP67" s="245"/>
      <c r="AQ67" s="245"/>
      <c r="AR67" s="245"/>
      <c r="AS67" s="245"/>
      <c r="AT67" s="245"/>
      <c r="AU67" s="245"/>
      <c r="AV67" s="245"/>
      <c r="AW67" s="245"/>
      <c r="AX67" s="245"/>
      <c r="AY67" s="245"/>
      <c r="AZ67" s="245"/>
    </row>
    <row r="68" spans="1:52" ht="13.5" customHeight="1" x14ac:dyDescent="0.25">
      <c r="B68" s="34">
        <v>61</v>
      </c>
      <c r="C68" s="34">
        <f>YEAR(Input!$E$11)+Leistungen!B68</f>
        <v>2046</v>
      </c>
      <c r="D68" s="277">
        <v>161</v>
      </c>
      <c r="E68" s="257"/>
      <c r="F68" s="257"/>
      <c r="G68" s="257"/>
      <c r="H68" s="257"/>
      <c r="I68" s="257"/>
      <c r="J68" s="272"/>
      <c r="K68" s="257"/>
      <c r="L68" s="257"/>
      <c r="M68" s="272"/>
      <c r="N68" s="257"/>
      <c r="O68" s="257"/>
      <c r="P68" s="272"/>
      <c r="Q68" s="266">
        <f t="shared" si="0"/>
        <v>6.2</v>
      </c>
      <c r="R68" s="272">
        <f t="shared" si="1"/>
        <v>5.44</v>
      </c>
      <c r="S68" s="272">
        <f t="shared" si="1"/>
        <v>5.44</v>
      </c>
      <c r="T68" s="266">
        <f t="shared" si="2"/>
        <v>6</v>
      </c>
      <c r="U68" s="272">
        <f t="shared" si="3"/>
        <v>5.44</v>
      </c>
      <c r="V68" s="272">
        <f t="shared" si="3"/>
        <v>5.44</v>
      </c>
      <c r="W68" s="266">
        <f t="shared" si="4"/>
        <v>5.8</v>
      </c>
      <c r="X68" s="272">
        <f t="shared" si="5"/>
        <v>5.44</v>
      </c>
      <c r="Y68" s="272">
        <f t="shared" si="5"/>
        <v>5.44</v>
      </c>
      <c r="Z68" s="266">
        <f t="shared" si="6"/>
        <v>5.6</v>
      </c>
      <c r="AA68" s="272">
        <f t="shared" si="7"/>
        <v>5.44</v>
      </c>
      <c r="AB68" s="272">
        <f t="shared" si="7"/>
        <v>5.44</v>
      </c>
      <c r="AC68" s="266">
        <v>5.4</v>
      </c>
      <c r="AD68" s="272">
        <v>5.4</v>
      </c>
      <c r="AE68" s="272">
        <v>5.4</v>
      </c>
      <c r="AF68" s="266">
        <v>5.2</v>
      </c>
      <c r="AG68" s="272">
        <v>5.2</v>
      </c>
      <c r="AH68" s="272">
        <v>5.2</v>
      </c>
      <c r="AI68" s="266">
        <v>5</v>
      </c>
      <c r="AJ68" s="272">
        <v>5</v>
      </c>
      <c r="AK68" s="272">
        <v>5</v>
      </c>
      <c r="AL68" s="266">
        <v>4.8</v>
      </c>
      <c r="AM68" s="272">
        <v>4.8</v>
      </c>
      <c r="AN68" s="272">
        <v>4.8</v>
      </c>
      <c r="AO68" s="245"/>
      <c r="AP68" s="245"/>
      <c r="AQ68" s="245"/>
      <c r="AR68" s="245"/>
      <c r="AS68" s="245"/>
      <c r="AT68" s="245"/>
      <c r="AU68" s="245"/>
      <c r="AV68" s="245"/>
      <c r="AW68" s="245"/>
      <c r="AX68" s="245"/>
      <c r="AY68" s="245"/>
      <c r="AZ68" s="245"/>
    </row>
    <row r="69" spans="1:52" ht="13.5" customHeight="1" x14ac:dyDescent="0.25">
      <c r="B69" s="34">
        <v>62</v>
      </c>
      <c r="C69" s="34">
        <f>YEAR(Input!$E$11)+Leistungen!B69</f>
        <v>2047</v>
      </c>
      <c r="D69" s="277">
        <v>162</v>
      </c>
      <c r="E69" s="257"/>
      <c r="F69" s="257"/>
      <c r="G69" s="257"/>
      <c r="H69" s="257"/>
      <c r="I69" s="257"/>
      <c r="J69" s="272"/>
      <c r="K69" s="257"/>
      <c r="L69" s="257"/>
      <c r="M69" s="272"/>
      <c r="N69" s="257"/>
      <c r="O69" s="257"/>
      <c r="P69" s="272"/>
      <c r="Q69" s="266">
        <f t="shared" si="0"/>
        <v>6.35</v>
      </c>
      <c r="R69" s="272">
        <f t="shared" si="1"/>
        <v>5.57</v>
      </c>
      <c r="S69" s="272">
        <f t="shared" si="1"/>
        <v>5.57</v>
      </c>
      <c r="T69" s="266">
        <f t="shared" si="2"/>
        <v>6.15</v>
      </c>
      <c r="U69" s="272">
        <f t="shared" si="3"/>
        <v>5.57</v>
      </c>
      <c r="V69" s="272">
        <f t="shared" si="3"/>
        <v>5.57</v>
      </c>
      <c r="W69" s="266">
        <f t="shared" si="4"/>
        <v>5.95</v>
      </c>
      <c r="X69" s="272">
        <f t="shared" si="5"/>
        <v>5.57</v>
      </c>
      <c r="Y69" s="272">
        <f t="shared" si="5"/>
        <v>5.57</v>
      </c>
      <c r="Z69" s="266">
        <f t="shared" si="6"/>
        <v>5.75</v>
      </c>
      <c r="AA69" s="272">
        <f t="shared" si="7"/>
        <v>5.57</v>
      </c>
      <c r="AB69" s="272">
        <f t="shared" si="7"/>
        <v>5.57</v>
      </c>
      <c r="AC69" s="266">
        <v>5.55</v>
      </c>
      <c r="AD69" s="272">
        <v>5.55</v>
      </c>
      <c r="AE69" s="272">
        <v>5.55</v>
      </c>
      <c r="AF69" s="266">
        <v>5.35</v>
      </c>
      <c r="AG69" s="272">
        <v>5.35</v>
      </c>
      <c r="AH69" s="272">
        <v>5.35</v>
      </c>
      <c r="AI69" s="266">
        <v>5.15</v>
      </c>
      <c r="AJ69" s="272">
        <v>5.15</v>
      </c>
      <c r="AK69" s="272">
        <v>5.15</v>
      </c>
      <c r="AL69" s="266">
        <v>4.95</v>
      </c>
      <c r="AM69" s="272">
        <v>4.95</v>
      </c>
      <c r="AN69" s="272">
        <v>4.95</v>
      </c>
      <c r="AO69" s="245"/>
      <c r="AP69" s="245"/>
      <c r="AQ69" s="245"/>
      <c r="AR69" s="245"/>
      <c r="AS69" s="245"/>
      <c r="AT69" s="245"/>
      <c r="AU69" s="245"/>
      <c r="AV69" s="245"/>
      <c r="AW69" s="245"/>
      <c r="AX69" s="245"/>
      <c r="AY69" s="245"/>
      <c r="AZ69" s="245"/>
    </row>
    <row r="70" spans="1:52" ht="13.5" customHeight="1" x14ac:dyDescent="0.25">
      <c r="B70" s="34">
        <v>63</v>
      </c>
      <c r="C70" s="34">
        <f>YEAR(Input!$E$11)+Leistungen!B70</f>
        <v>2048</v>
      </c>
      <c r="D70" s="277">
        <v>163</v>
      </c>
      <c r="E70" s="257"/>
      <c r="F70" s="257"/>
      <c r="G70" s="257"/>
      <c r="H70" s="257"/>
      <c r="I70" s="257"/>
      <c r="J70" s="272"/>
      <c r="K70" s="257"/>
      <c r="L70" s="257"/>
      <c r="M70" s="272"/>
      <c r="N70" s="257"/>
      <c r="O70" s="257"/>
      <c r="P70" s="272"/>
      <c r="Q70" s="266">
        <f t="shared" si="0"/>
        <v>6.5</v>
      </c>
      <c r="R70" s="272">
        <f t="shared" si="1"/>
        <v>5.71</v>
      </c>
      <c r="S70" s="272">
        <f t="shared" si="1"/>
        <v>5.71</v>
      </c>
      <c r="T70" s="266">
        <f t="shared" si="2"/>
        <v>6.3</v>
      </c>
      <c r="U70" s="272">
        <f t="shared" si="3"/>
        <v>5.71</v>
      </c>
      <c r="V70" s="272">
        <f t="shared" si="3"/>
        <v>5.71</v>
      </c>
      <c r="W70" s="266">
        <f t="shared" si="4"/>
        <v>6.1</v>
      </c>
      <c r="X70" s="272">
        <f t="shared" si="5"/>
        <v>5.71</v>
      </c>
      <c r="Y70" s="272">
        <f t="shared" si="5"/>
        <v>5.71</v>
      </c>
      <c r="Z70" s="266">
        <f t="shared" si="6"/>
        <v>5.9</v>
      </c>
      <c r="AA70" s="272">
        <f t="shared" si="7"/>
        <v>5.71</v>
      </c>
      <c r="AB70" s="272">
        <f t="shared" si="7"/>
        <v>5.71</v>
      </c>
      <c r="AC70" s="266">
        <v>5.7</v>
      </c>
      <c r="AD70" s="272">
        <v>5.7</v>
      </c>
      <c r="AE70" s="272">
        <v>5.7</v>
      </c>
      <c r="AF70" s="266">
        <v>5.5</v>
      </c>
      <c r="AG70" s="272">
        <v>5.5</v>
      </c>
      <c r="AH70" s="272">
        <v>5.5</v>
      </c>
      <c r="AI70" s="266">
        <v>5.3</v>
      </c>
      <c r="AJ70" s="272">
        <v>5.3</v>
      </c>
      <c r="AK70" s="272">
        <v>5.3</v>
      </c>
      <c r="AL70" s="266">
        <v>5.0999999999999996</v>
      </c>
      <c r="AM70" s="272">
        <v>5.0999999999999996</v>
      </c>
      <c r="AN70" s="272">
        <v>5.0999999999999996</v>
      </c>
      <c r="AO70" s="245"/>
      <c r="AP70" s="245"/>
      <c r="AQ70" s="245"/>
      <c r="AR70" s="245"/>
      <c r="AS70" s="245"/>
      <c r="AT70" s="245"/>
      <c r="AU70" s="245"/>
      <c r="AV70" s="245"/>
      <c r="AW70" s="245"/>
      <c r="AX70" s="245"/>
      <c r="AY70" s="245"/>
      <c r="AZ70" s="245"/>
    </row>
    <row r="71" spans="1:52" ht="13.5" customHeight="1" x14ac:dyDescent="0.25">
      <c r="B71" s="34">
        <v>64</v>
      </c>
      <c r="C71" s="34">
        <f>YEAR(Input!$E$11)+Leistungen!B71</f>
        <v>2049</v>
      </c>
      <c r="D71" s="277">
        <v>164</v>
      </c>
      <c r="E71" s="257"/>
      <c r="F71" s="257"/>
      <c r="G71" s="257"/>
      <c r="H71" s="257"/>
      <c r="I71" s="257"/>
      <c r="J71" s="272"/>
      <c r="K71" s="257"/>
      <c r="L71" s="257"/>
      <c r="M71" s="272"/>
      <c r="N71" s="257"/>
      <c r="O71" s="257"/>
      <c r="P71" s="272"/>
      <c r="Q71" s="266">
        <f t="shared" si="0"/>
        <v>6.65</v>
      </c>
      <c r="R71" s="272">
        <f t="shared" si="1"/>
        <v>5.85</v>
      </c>
      <c r="S71" s="272">
        <f t="shared" si="1"/>
        <v>5.85</v>
      </c>
      <c r="T71" s="266">
        <f t="shared" si="2"/>
        <v>6.45</v>
      </c>
      <c r="U71" s="272">
        <f t="shared" si="3"/>
        <v>5.85</v>
      </c>
      <c r="V71" s="272">
        <f t="shared" si="3"/>
        <v>5.85</v>
      </c>
      <c r="W71" s="266">
        <f t="shared" si="4"/>
        <v>6.25</v>
      </c>
      <c r="X71" s="272">
        <f t="shared" si="5"/>
        <v>5.85</v>
      </c>
      <c r="Y71" s="272">
        <f t="shared" si="5"/>
        <v>5.85</v>
      </c>
      <c r="Z71" s="266">
        <f t="shared" si="6"/>
        <v>6.05</v>
      </c>
      <c r="AA71" s="272">
        <f t="shared" si="7"/>
        <v>5.85</v>
      </c>
      <c r="AB71" s="272">
        <f t="shared" si="7"/>
        <v>5.85</v>
      </c>
      <c r="AC71" s="266">
        <v>5.85</v>
      </c>
      <c r="AD71" s="272">
        <v>5.85</v>
      </c>
      <c r="AE71" s="272">
        <v>5.85</v>
      </c>
      <c r="AF71" s="266">
        <v>5.65</v>
      </c>
      <c r="AG71" s="272">
        <v>5.65</v>
      </c>
      <c r="AH71" s="272">
        <v>5.65</v>
      </c>
      <c r="AI71" s="266">
        <v>5.45</v>
      </c>
      <c r="AJ71" s="272">
        <v>5.45</v>
      </c>
      <c r="AK71" s="272">
        <v>5.45</v>
      </c>
      <c r="AL71" s="266">
        <v>5.25</v>
      </c>
      <c r="AM71" s="272">
        <v>5.25</v>
      </c>
      <c r="AN71" s="272">
        <v>5.25</v>
      </c>
      <c r="AO71" s="245"/>
      <c r="AP71" s="245"/>
      <c r="AQ71" s="245"/>
      <c r="AR71" s="245"/>
      <c r="AS71" s="245"/>
      <c r="AT71" s="245"/>
      <c r="AU71" s="245"/>
      <c r="AV71" s="245"/>
      <c r="AW71" s="245"/>
      <c r="AX71" s="245"/>
      <c r="AY71" s="245"/>
      <c r="AZ71" s="245"/>
    </row>
    <row r="72" spans="1:52" ht="13.5" customHeight="1" x14ac:dyDescent="0.25">
      <c r="B72" s="34">
        <v>65</v>
      </c>
      <c r="C72" s="34">
        <f>YEAR(Input!$E$11)+Leistungen!B72</f>
        <v>2050</v>
      </c>
      <c r="D72" s="277">
        <v>165</v>
      </c>
      <c r="E72" s="257"/>
      <c r="F72" s="257"/>
      <c r="G72" s="257"/>
      <c r="H72" s="257"/>
      <c r="I72" s="257"/>
      <c r="J72" s="272"/>
      <c r="K72" s="257"/>
      <c r="L72" s="257"/>
      <c r="M72" s="272"/>
      <c r="N72" s="257"/>
      <c r="O72" s="257"/>
      <c r="P72" s="272"/>
      <c r="Q72" s="266">
        <f t="shared" si="0"/>
        <v>6.8</v>
      </c>
      <c r="R72" s="272">
        <f t="shared" si="1"/>
        <v>6.01</v>
      </c>
      <c r="S72" s="272">
        <f t="shared" si="1"/>
        <v>6.01</v>
      </c>
      <c r="T72" s="266">
        <f t="shared" si="2"/>
        <v>6.6</v>
      </c>
      <c r="U72" s="272">
        <f t="shared" si="3"/>
        <v>6.01</v>
      </c>
      <c r="V72" s="272">
        <f t="shared" si="3"/>
        <v>6.01</v>
      </c>
      <c r="W72" s="266">
        <f t="shared" si="4"/>
        <v>6.4</v>
      </c>
      <c r="X72" s="272">
        <f t="shared" si="5"/>
        <v>6.01</v>
      </c>
      <c r="Y72" s="272">
        <f t="shared" si="5"/>
        <v>6.01</v>
      </c>
      <c r="Z72" s="266">
        <f t="shared" si="6"/>
        <v>6.2</v>
      </c>
      <c r="AA72" s="272">
        <f t="shared" si="7"/>
        <v>6.01</v>
      </c>
      <c r="AB72" s="272">
        <f t="shared" si="7"/>
        <v>6.01</v>
      </c>
      <c r="AC72" s="266">
        <v>6</v>
      </c>
      <c r="AD72" s="272">
        <v>6</v>
      </c>
      <c r="AE72" s="272">
        <v>6</v>
      </c>
      <c r="AF72" s="266">
        <v>5.8</v>
      </c>
      <c r="AG72" s="272">
        <v>5.8</v>
      </c>
      <c r="AH72" s="272">
        <v>5.8</v>
      </c>
      <c r="AI72" s="266">
        <v>5.6</v>
      </c>
      <c r="AJ72" s="272">
        <v>5.6</v>
      </c>
      <c r="AK72" s="272">
        <v>5.6</v>
      </c>
      <c r="AL72" s="266">
        <v>5.4</v>
      </c>
      <c r="AM72" s="272">
        <v>5.4</v>
      </c>
      <c r="AN72" s="272">
        <v>5.4</v>
      </c>
      <c r="AO72" s="245"/>
      <c r="AP72" s="245"/>
      <c r="AQ72" s="245"/>
      <c r="AR72" s="245"/>
      <c r="AS72" s="245"/>
      <c r="AT72" s="245"/>
      <c r="AU72" s="245"/>
      <c r="AV72" s="245"/>
      <c r="AW72" s="245"/>
      <c r="AX72" s="245"/>
      <c r="AY72" s="245"/>
      <c r="AZ72" s="245"/>
    </row>
    <row r="73" spans="1:52" ht="13.5" customHeight="1" x14ac:dyDescent="0.25">
      <c r="B73" s="34">
        <v>66</v>
      </c>
      <c r="C73" s="34">
        <f>YEAR(Input!$E$11)+Leistungen!B73</f>
        <v>2051</v>
      </c>
      <c r="D73" s="277">
        <v>166</v>
      </c>
      <c r="E73" s="257"/>
      <c r="F73" s="257"/>
      <c r="G73" s="257"/>
      <c r="H73" s="257"/>
      <c r="I73" s="257"/>
      <c r="J73" s="272"/>
      <c r="K73" s="257"/>
      <c r="L73" s="257"/>
      <c r="M73" s="272"/>
      <c r="N73" s="257"/>
      <c r="O73" s="257"/>
      <c r="P73" s="272"/>
      <c r="Q73" s="266">
        <f t="shared" si="0"/>
        <v>6.95</v>
      </c>
      <c r="R73" s="272">
        <f t="shared" si="1"/>
        <v>6.17</v>
      </c>
      <c r="S73" s="272">
        <f t="shared" si="1"/>
        <v>6.17</v>
      </c>
      <c r="T73" s="266">
        <f t="shared" si="2"/>
        <v>6.75</v>
      </c>
      <c r="U73" s="272">
        <f t="shared" si="3"/>
        <v>6.17</v>
      </c>
      <c r="V73" s="272">
        <f t="shared" si="3"/>
        <v>6.17</v>
      </c>
      <c r="W73" s="266">
        <f t="shared" si="4"/>
        <v>6.55</v>
      </c>
      <c r="X73" s="272">
        <f t="shared" si="5"/>
        <v>6.17</v>
      </c>
      <c r="Y73" s="272">
        <f t="shared" si="5"/>
        <v>6.17</v>
      </c>
      <c r="Z73" s="266">
        <f t="shared" si="6"/>
        <v>6.35</v>
      </c>
      <c r="AA73" s="272">
        <f t="shared" si="7"/>
        <v>6.17</v>
      </c>
      <c r="AB73" s="272">
        <f t="shared" si="7"/>
        <v>6.17</v>
      </c>
      <c r="AC73" s="266">
        <v>6.15</v>
      </c>
      <c r="AD73" s="272">
        <v>6.15</v>
      </c>
      <c r="AE73" s="272">
        <v>6.15</v>
      </c>
      <c r="AF73" s="266">
        <v>5.95</v>
      </c>
      <c r="AG73" s="272">
        <v>5.95</v>
      </c>
      <c r="AH73" s="272">
        <v>5.95</v>
      </c>
      <c r="AI73" s="266">
        <v>5.75</v>
      </c>
      <c r="AJ73" s="272">
        <v>5.75</v>
      </c>
      <c r="AK73" s="272">
        <v>5.75</v>
      </c>
      <c r="AL73" s="266">
        <v>5.55</v>
      </c>
      <c r="AM73" s="272">
        <v>5.55</v>
      </c>
      <c r="AN73" s="272">
        <v>5.55</v>
      </c>
      <c r="AO73" s="245"/>
      <c r="AP73" s="245"/>
      <c r="AQ73" s="245"/>
      <c r="AR73" s="245"/>
      <c r="AS73" s="245"/>
      <c r="AT73" s="245"/>
      <c r="AU73" s="245"/>
      <c r="AV73" s="245"/>
      <c r="AW73" s="245"/>
      <c r="AX73" s="245"/>
      <c r="AY73" s="245"/>
      <c r="AZ73" s="245"/>
    </row>
    <row r="74" spans="1:52" ht="13.5" customHeight="1" x14ac:dyDescent="0.25">
      <c r="B74" s="34">
        <v>67</v>
      </c>
      <c r="C74" s="34">
        <f>YEAR(Input!$E$11)+Leistungen!B74</f>
        <v>2052</v>
      </c>
      <c r="D74" s="277">
        <v>167</v>
      </c>
      <c r="E74" s="257"/>
      <c r="F74" s="257"/>
      <c r="G74" s="257"/>
      <c r="H74" s="257"/>
      <c r="I74" s="257"/>
      <c r="J74" s="272"/>
      <c r="K74" s="257"/>
      <c r="L74" s="257"/>
      <c r="M74" s="272"/>
      <c r="N74" s="257"/>
      <c r="O74" s="257"/>
      <c r="P74" s="272"/>
      <c r="Q74" s="266">
        <f t="shared" si="0"/>
        <v>7.1</v>
      </c>
      <c r="R74" s="272">
        <f t="shared" si="1"/>
        <v>6.34</v>
      </c>
      <c r="S74" s="272">
        <f t="shared" si="1"/>
        <v>6.34</v>
      </c>
      <c r="T74" s="266">
        <f t="shared" si="2"/>
        <v>6.9</v>
      </c>
      <c r="U74" s="272">
        <f t="shared" si="3"/>
        <v>6.34</v>
      </c>
      <c r="V74" s="272">
        <f t="shared" si="3"/>
        <v>6.34</v>
      </c>
      <c r="W74" s="266">
        <f t="shared" si="4"/>
        <v>6.7</v>
      </c>
      <c r="X74" s="272">
        <f t="shared" si="5"/>
        <v>6.34</v>
      </c>
      <c r="Y74" s="272">
        <f t="shared" si="5"/>
        <v>6.34</v>
      </c>
      <c r="Z74" s="266">
        <f t="shared" si="6"/>
        <v>6.5</v>
      </c>
      <c r="AA74" s="272">
        <f t="shared" si="7"/>
        <v>6.34</v>
      </c>
      <c r="AB74" s="272">
        <f t="shared" si="7"/>
        <v>6.34</v>
      </c>
      <c r="AC74" s="266">
        <v>6.3</v>
      </c>
      <c r="AD74" s="272">
        <v>6.3</v>
      </c>
      <c r="AE74" s="272">
        <v>6.3</v>
      </c>
      <c r="AF74" s="266">
        <v>6.1</v>
      </c>
      <c r="AG74" s="272">
        <v>6.1</v>
      </c>
      <c r="AH74" s="272">
        <v>6.1</v>
      </c>
      <c r="AI74" s="266">
        <v>5.9</v>
      </c>
      <c r="AJ74" s="272">
        <v>5.9</v>
      </c>
      <c r="AK74" s="272">
        <v>5.9</v>
      </c>
      <c r="AL74" s="266">
        <v>5.7</v>
      </c>
      <c r="AM74" s="272">
        <v>5.7</v>
      </c>
      <c r="AN74" s="272">
        <v>5.7</v>
      </c>
      <c r="AO74" s="245"/>
      <c r="AP74" s="245"/>
      <c r="AQ74" s="245"/>
      <c r="AR74" s="245"/>
      <c r="AS74" s="245"/>
      <c r="AT74" s="245"/>
      <c r="AU74" s="245"/>
      <c r="AV74" s="245"/>
      <c r="AW74" s="245"/>
      <c r="AX74" s="245"/>
      <c r="AY74" s="245"/>
      <c r="AZ74" s="245"/>
    </row>
    <row r="75" spans="1:52" ht="13.5" customHeight="1" x14ac:dyDescent="0.25">
      <c r="B75" s="34">
        <v>68</v>
      </c>
      <c r="C75" s="34">
        <f>YEAR(Input!$E$11)+Leistungen!B75</f>
        <v>2053</v>
      </c>
      <c r="D75" s="277">
        <v>168</v>
      </c>
      <c r="E75" s="257"/>
      <c r="F75" s="257"/>
      <c r="G75" s="257"/>
      <c r="H75" s="257"/>
      <c r="I75" s="257"/>
      <c r="J75" s="272"/>
      <c r="K75" s="257"/>
      <c r="L75" s="257"/>
      <c r="M75" s="272"/>
      <c r="N75" s="257"/>
      <c r="O75" s="257"/>
      <c r="P75" s="272"/>
      <c r="Q75" s="266">
        <f t="shared" si="0"/>
        <v>7.25</v>
      </c>
      <c r="R75" s="272">
        <f t="shared" si="1"/>
        <v>6.53</v>
      </c>
      <c r="S75" s="272">
        <f t="shared" si="1"/>
        <v>6.53</v>
      </c>
      <c r="T75" s="266">
        <f t="shared" si="2"/>
        <v>7.05</v>
      </c>
      <c r="U75" s="272">
        <f t="shared" si="3"/>
        <v>6.53</v>
      </c>
      <c r="V75" s="272">
        <f t="shared" si="3"/>
        <v>6.53</v>
      </c>
      <c r="W75" s="266">
        <f t="shared" si="4"/>
        <v>6.85</v>
      </c>
      <c r="X75" s="272">
        <f t="shared" si="5"/>
        <v>6.53</v>
      </c>
      <c r="Y75" s="272">
        <f t="shared" si="5"/>
        <v>6.53</v>
      </c>
      <c r="Z75" s="266">
        <f t="shared" si="6"/>
        <v>6.6499999999999897</v>
      </c>
      <c r="AA75" s="272">
        <f t="shared" si="7"/>
        <v>6.53</v>
      </c>
      <c r="AB75" s="272">
        <f t="shared" si="7"/>
        <v>6.53</v>
      </c>
      <c r="AC75" s="266">
        <v>6.45</v>
      </c>
      <c r="AD75" s="272">
        <v>6.45</v>
      </c>
      <c r="AE75" s="272">
        <v>6.45</v>
      </c>
      <c r="AF75" s="266">
        <v>6.25</v>
      </c>
      <c r="AG75" s="272">
        <v>6.25</v>
      </c>
      <c r="AH75" s="272">
        <v>6.25</v>
      </c>
      <c r="AI75" s="266">
        <v>6.05</v>
      </c>
      <c r="AJ75" s="272">
        <v>6.05</v>
      </c>
      <c r="AK75" s="272">
        <v>6.05</v>
      </c>
      <c r="AL75" s="266">
        <v>5.85</v>
      </c>
      <c r="AM75" s="272">
        <v>5.85</v>
      </c>
      <c r="AN75" s="272">
        <v>5.85</v>
      </c>
      <c r="AO75" s="245"/>
      <c r="AP75" s="245"/>
      <c r="AQ75" s="245"/>
      <c r="AR75" s="245"/>
      <c r="AS75" s="245"/>
      <c r="AT75" s="245"/>
      <c r="AU75" s="245"/>
      <c r="AV75" s="245"/>
      <c r="AW75" s="245"/>
      <c r="AX75" s="245"/>
      <c r="AY75" s="245"/>
      <c r="AZ75" s="245"/>
    </row>
    <row r="76" spans="1:52" ht="13.5" customHeight="1" x14ac:dyDescent="0.25">
      <c r="B76" s="34">
        <v>69</v>
      </c>
      <c r="C76" s="34">
        <f>YEAR(Input!$E$11)+Leistungen!B76</f>
        <v>2054</v>
      </c>
      <c r="D76" s="277">
        <v>169</v>
      </c>
      <c r="E76" s="257"/>
      <c r="F76" s="257"/>
      <c r="G76" s="257"/>
      <c r="H76" s="257"/>
      <c r="I76" s="257"/>
      <c r="J76" s="274"/>
      <c r="K76" s="257"/>
      <c r="L76" s="257"/>
      <c r="M76" s="274"/>
      <c r="N76" s="257"/>
      <c r="O76" s="257"/>
      <c r="P76" s="274"/>
      <c r="Q76" s="266">
        <f t="shared" si="0"/>
        <v>7.4</v>
      </c>
      <c r="R76" s="274">
        <f t="shared" si="1"/>
        <v>6.73</v>
      </c>
      <c r="S76" s="274">
        <f t="shared" si="1"/>
        <v>6.73</v>
      </c>
      <c r="T76" s="266">
        <f t="shared" si="2"/>
        <v>7.2</v>
      </c>
      <c r="U76" s="274">
        <f t="shared" si="3"/>
        <v>6.73</v>
      </c>
      <c r="V76" s="274">
        <f t="shared" si="3"/>
        <v>6.73</v>
      </c>
      <c r="W76" s="266">
        <f t="shared" si="4"/>
        <v>7</v>
      </c>
      <c r="X76" s="274">
        <f t="shared" si="5"/>
        <v>6.73</v>
      </c>
      <c r="Y76" s="274">
        <f t="shared" si="5"/>
        <v>6.73</v>
      </c>
      <c r="Z76" s="266">
        <f t="shared" si="6"/>
        <v>6.7999999999999901</v>
      </c>
      <c r="AA76" s="274">
        <f t="shared" si="7"/>
        <v>6.73</v>
      </c>
      <c r="AB76" s="274">
        <f t="shared" si="7"/>
        <v>6.73</v>
      </c>
      <c r="AC76" s="266">
        <v>6.6</v>
      </c>
      <c r="AD76" s="274">
        <v>6.6</v>
      </c>
      <c r="AE76" s="274">
        <v>6.6</v>
      </c>
      <c r="AF76" s="266">
        <v>6.4</v>
      </c>
      <c r="AG76" s="274">
        <v>6.4</v>
      </c>
      <c r="AH76" s="274">
        <v>6.4</v>
      </c>
      <c r="AI76" s="266">
        <v>6.2</v>
      </c>
      <c r="AJ76" s="274">
        <v>6.2</v>
      </c>
      <c r="AK76" s="274">
        <v>6.2</v>
      </c>
      <c r="AL76" s="266">
        <v>6</v>
      </c>
      <c r="AM76" s="274">
        <v>6</v>
      </c>
      <c r="AN76" s="274">
        <v>6</v>
      </c>
      <c r="AO76" s="245"/>
      <c r="AP76" s="245"/>
      <c r="AQ76" s="245"/>
      <c r="AR76" s="245"/>
      <c r="AS76" s="245"/>
      <c r="AT76" s="245"/>
      <c r="AU76" s="245"/>
      <c r="AV76" s="245"/>
      <c r="AW76" s="245"/>
      <c r="AX76" s="245"/>
      <c r="AY76" s="245"/>
      <c r="AZ76" s="245"/>
    </row>
    <row r="77" spans="1:52" s="236" customFormat="1" ht="13.5" customHeight="1" thickBot="1" x14ac:dyDescent="0.3">
      <c r="B77" s="267">
        <v>70</v>
      </c>
      <c r="C77" s="267">
        <f>YEAR(Input!$E$11)+Leistungen!B77</f>
        <v>2055</v>
      </c>
      <c r="D77" s="262">
        <v>170</v>
      </c>
      <c r="E77" s="268"/>
      <c r="F77" s="268"/>
      <c r="G77" s="268"/>
      <c r="H77" s="268"/>
      <c r="I77" s="268"/>
      <c r="J77" s="273"/>
      <c r="K77" s="268"/>
      <c r="L77" s="268"/>
      <c r="M77" s="273"/>
      <c r="N77" s="268"/>
      <c r="O77" s="268"/>
      <c r="P77" s="273"/>
      <c r="Q77" s="270">
        <f t="shared" si="0"/>
        <v>7.55</v>
      </c>
      <c r="R77" s="273">
        <f t="shared" si="1"/>
        <v>6.95</v>
      </c>
      <c r="S77" s="273">
        <f t="shared" si="1"/>
        <v>6.95</v>
      </c>
      <c r="T77" s="270">
        <f t="shared" si="2"/>
        <v>7.35</v>
      </c>
      <c r="U77" s="273">
        <f t="shared" si="3"/>
        <v>6.95</v>
      </c>
      <c r="V77" s="273">
        <f t="shared" si="3"/>
        <v>6.95</v>
      </c>
      <c r="W77" s="270">
        <f t="shared" si="4"/>
        <v>7.15</v>
      </c>
      <c r="X77" s="273">
        <f t="shared" si="5"/>
        <v>6.95</v>
      </c>
      <c r="Y77" s="273">
        <f t="shared" si="5"/>
        <v>6.95</v>
      </c>
      <c r="Z77" s="270">
        <f t="shared" si="6"/>
        <v>6.9499999999999904</v>
      </c>
      <c r="AA77" s="273">
        <f t="shared" si="7"/>
        <v>6.95</v>
      </c>
      <c r="AB77" s="273">
        <f t="shared" si="7"/>
        <v>6.95</v>
      </c>
      <c r="AC77" s="270">
        <v>6.75</v>
      </c>
      <c r="AD77" s="273">
        <v>6.75</v>
      </c>
      <c r="AE77" s="273">
        <v>6.75</v>
      </c>
      <c r="AF77" s="270">
        <v>6.55</v>
      </c>
      <c r="AG77" s="273">
        <v>6.55</v>
      </c>
      <c r="AH77" s="273">
        <v>6.55</v>
      </c>
      <c r="AI77" s="270">
        <v>6.35</v>
      </c>
      <c r="AJ77" s="273">
        <v>6.35</v>
      </c>
      <c r="AK77" s="273">
        <v>6.35</v>
      </c>
      <c r="AL77" s="270">
        <v>6.15</v>
      </c>
      <c r="AM77" s="273">
        <v>6.15</v>
      </c>
      <c r="AN77" s="273">
        <v>6.15</v>
      </c>
      <c r="AO77" s="269"/>
      <c r="AP77" s="269"/>
      <c r="AQ77" s="269"/>
      <c r="AR77" s="269"/>
      <c r="AS77" s="269"/>
      <c r="AT77" s="269"/>
      <c r="AU77" s="269"/>
      <c r="AV77" s="269"/>
      <c r="AW77" s="269"/>
      <c r="AX77" s="269"/>
      <c r="AY77" s="269"/>
      <c r="AZ77" s="269"/>
    </row>
    <row r="78" spans="1:52" ht="13.5" customHeight="1" x14ac:dyDescent="0.25">
      <c r="A78" s="246" t="s">
        <v>1095</v>
      </c>
      <c r="B78" s="34">
        <v>58</v>
      </c>
      <c r="C78" s="34">
        <f>YEAR(Input!$E$11)+Leistungen!B78</f>
        <v>2043</v>
      </c>
      <c r="D78" s="277">
        <v>258</v>
      </c>
      <c r="E78" s="265"/>
      <c r="F78" s="265"/>
      <c r="G78" s="265"/>
      <c r="H78" s="265"/>
      <c r="I78" s="265"/>
      <c r="J78" s="272"/>
      <c r="K78" s="265"/>
      <c r="L78" s="265"/>
      <c r="M78" s="272"/>
      <c r="N78" s="265"/>
      <c r="O78" s="265"/>
      <c r="P78" s="272"/>
      <c r="Q78" s="266">
        <f t="shared" si="0"/>
        <v>5.75</v>
      </c>
      <c r="R78" s="272">
        <f t="shared" si="1"/>
        <v>5.07</v>
      </c>
      <c r="S78" s="272">
        <f t="shared" si="1"/>
        <v>5.07</v>
      </c>
      <c r="T78" s="266">
        <f t="shared" si="2"/>
        <v>5.55</v>
      </c>
      <c r="U78" s="272">
        <f t="shared" si="3"/>
        <v>5.07</v>
      </c>
      <c r="V78" s="272">
        <f t="shared" si="3"/>
        <v>5.07</v>
      </c>
      <c r="W78" s="266">
        <f t="shared" si="4"/>
        <v>5.35</v>
      </c>
      <c r="X78" s="272">
        <f t="shared" si="5"/>
        <v>5.07</v>
      </c>
      <c r="Y78" s="272">
        <f t="shared" si="5"/>
        <v>5.07</v>
      </c>
      <c r="Z78" s="266">
        <f t="shared" si="6"/>
        <v>5.15</v>
      </c>
      <c r="AA78" s="272">
        <f t="shared" si="7"/>
        <v>5.07</v>
      </c>
      <c r="AB78" s="272">
        <f t="shared" si="7"/>
        <v>5.07</v>
      </c>
      <c r="AC78" s="266">
        <v>4.95</v>
      </c>
      <c r="AD78" s="272">
        <v>4.95</v>
      </c>
      <c r="AE78" s="272">
        <v>4.95</v>
      </c>
      <c r="AF78" s="266">
        <v>4.75</v>
      </c>
      <c r="AG78" s="272">
        <v>4.75</v>
      </c>
      <c r="AH78" s="272">
        <v>4.75</v>
      </c>
      <c r="AI78" s="266">
        <v>4.55</v>
      </c>
      <c r="AJ78" s="272">
        <v>4.55</v>
      </c>
      <c r="AK78" s="272">
        <v>4.55</v>
      </c>
      <c r="AL78" s="266">
        <v>4.3499999999999996</v>
      </c>
      <c r="AM78" s="272">
        <v>4.3499999999999996</v>
      </c>
      <c r="AN78" s="272">
        <v>4.3499999999999996</v>
      </c>
    </row>
    <row r="79" spans="1:52" ht="13.5" customHeight="1" x14ac:dyDescent="0.25">
      <c r="B79" s="34">
        <v>59</v>
      </c>
      <c r="C79" s="34">
        <f>YEAR(Input!$E$11)+Leistungen!B79</f>
        <v>2044</v>
      </c>
      <c r="D79" s="277">
        <v>259</v>
      </c>
      <c r="E79" s="265"/>
      <c r="F79" s="265"/>
      <c r="G79" s="265"/>
      <c r="H79" s="265"/>
      <c r="I79" s="265"/>
      <c r="J79" s="272"/>
      <c r="K79" s="265"/>
      <c r="L79" s="265"/>
      <c r="M79" s="272"/>
      <c r="N79" s="265"/>
      <c r="O79" s="265"/>
      <c r="P79" s="272"/>
      <c r="Q79" s="266">
        <f t="shared" si="0"/>
        <v>5.95</v>
      </c>
      <c r="R79" s="272">
        <f t="shared" si="1"/>
        <v>5.19</v>
      </c>
      <c r="S79" s="272">
        <f t="shared" si="1"/>
        <v>5.19</v>
      </c>
      <c r="T79" s="266">
        <f t="shared" si="2"/>
        <v>5.7</v>
      </c>
      <c r="U79" s="272">
        <f t="shared" si="3"/>
        <v>5.19</v>
      </c>
      <c r="V79" s="272">
        <f t="shared" si="3"/>
        <v>5.19</v>
      </c>
      <c r="W79" s="266">
        <f t="shared" si="4"/>
        <v>5.5</v>
      </c>
      <c r="X79" s="272">
        <f t="shared" si="5"/>
        <v>5.19</v>
      </c>
      <c r="Y79" s="272">
        <f t="shared" si="5"/>
        <v>5.19</v>
      </c>
      <c r="Z79" s="266">
        <f t="shared" si="6"/>
        <v>5.3</v>
      </c>
      <c r="AA79" s="272">
        <f t="shared" si="7"/>
        <v>5.19</v>
      </c>
      <c r="AB79" s="272">
        <f t="shared" si="7"/>
        <v>5.19</v>
      </c>
      <c r="AC79" s="266">
        <v>5.0999999999999996</v>
      </c>
      <c r="AD79" s="272">
        <v>5.0999999999999996</v>
      </c>
      <c r="AE79" s="272">
        <v>5.0999999999999996</v>
      </c>
      <c r="AF79" s="266">
        <v>4.9000000000000004</v>
      </c>
      <c r="AG79" s="272">
        <v>4.9000000000000004</v>
      </c>
      <c r="AH79" s="272">
        <v>4.9000000000000004</v>
      </c>
      <c r="AI79" s="266">
        <v>4.7</v>
      </c>
      <c r="AJ79" s="272">
        <v>4.7</v>
      </c>
      <c r="AK79" s="272">
        <v>4.7</v>
      </c>
      <c r="AL79" s="266">
        <v>4.5</v>
      </c>
      <c r="AM79" s="272">
        <v>4.5</v>
      </c>
      <c r="AN79" s="272">
        <v>4.5</v>
      </c>
    </row>
    <row r="80" spans="1:52" ht="13.5" customHeight="1" x14ac:dyDescent="0.25">
      <c r="B80" s="34">
        <v>60</v>
      </c>
      <c r="C80" s="34">
        <f>YEAR(Input!$E$11)+Leistungen!B80</f>
        <v>2045</v>
      </c>
      <c r="D80" s="277">
        <v>260</v>
      </c>
      <c r="E80" s="265"/>
      <c r="F80" s="265"/>
      <c r="G80" s="265"/>
      <c r="H80" s="265"/>
      <c r="I80" s="265"/>
      <c r="J80" s="272"/>
      <c r="K80" s="265"/>
      <c r="L80" s="265"/>
      <c r="M80" s="272"/>
      <c r="N80" s="265"/>
      <c r="O80" s="265"/>
      <c r="P80" s="272"/>
      <c r="Q80" s="266">
        <f t="shared" si="0"/>
        <v>6.05</v>
      </c>
      <c r="R80" s="272">
        <f t="shared" si="1"/>
        <v>5.31</v>
      </c>
      <c r="S80" s="272">
        <f t="shared" si="1"/>
        <v>5.31</v>
      </c>
      <c r="T80" s="266">
        <f t="shared" si="2"/>
        <v>5.85</v>
      </c>
      <c r="U80" s="272">
        <f t="shared" si="3"/>
        <v>5.31</v>
      </c>
      <c r="V80" s="272">
        <f t="shared" si="3"/>
        <v>5.31</v>
      </c>
      <c r="W80" s="266">
        <f t="shared" si="4"/>
        <v>5.65</v>
      </c>
      <c r="X80" s="272">
        <f t="shared" si="5"/>
        <v>5.31</v>
      </c>
      <c r="Y80" s="272">
        <f t="shared" si="5"/>
        <v>5.31</v>
      </c>
      <c r="Z80" s="266">
        <f t="shared" si="6"/>
        <v>5.45</v>
      </c>
      <c r="AA80" s="272">
        <f t="shared" si="7"/>
        <v>5.31</v>
      </c>
      <c r="AB80" s="272">
        <f t="shared" si="7"/>
        <v>5.31</v>
      </c>
      <c r="AC80" s="266">
        <v>5.25</v>
      </c>
      <c r="AD80" s="272">
        <v>5.25</v>
      </c>
      <c r="AE80" s="272">
        <v>5.25</v>
      </c>
      <c r="AF80" s="266">
        <v>5.05</v>
      </c>
      <c r="AG80" s="272">
        <v>5.05</v>
      </c>
      <c r="AH80" s="272">
        <v>5.05</v>
      </c>
      <c r="AI80" s="266">
        <v>4.8499999999999996</v>
      </c>
      <c r="AJ80" s="272">
        <v>4.8499999999999996</v>
      </c>
      <c r="AK80" s="272">
        <v>4.8499999999999996</v>
      </c>
      <c r="AL80" s="266">
        <v>4.6500000000000004</v>
      </c>
      <c r="AM80" s="272">
        <v>4.6500000000000004</v>
      </c>
      <c r="AN80" s="272">
        <v>4.6500000000000004</v>
      </c>
    </row>
    <row r="81" spans="1:40" ht="13.5" customHeight="1" x14ac:dyDescent="0.25">
      <c r="B81" s="34">
        <v>61</v>
      </c>
      <c r="C81" s="34">
        <f>YEAR(Input!$E$11)+Leistungen!B81</f>
        <v>2046</v>
      </c>
      <c r="D81" s="277">
        <v>261</v>
      </c>
      <c r="E81" s="265"/>
      <c r="F81" s="265"/>
      <c r="G81" s="265"/>
      <c r="H81" s="265"/>
      <c r="I81" s="265"/>
      <c r="J81" s="272"/>
      <c r="K81" s="265"/>
      <c r="L81" s="265"/>
      <c r="M81" s="272"/>
      <c r="N81" s="265"/>
      <c r="O81" s="265"/>
      <c r="P81" s="272"/>
      <c r="Q81" s="266">
        <f t="shared" si="0"/>
        <v>6.2</v>
      </c>
      <c r="R81" s="272">
        <f t="shared" si="1"/>
        <v>5.44</v>
      </c>
      <c r="S81" s="272">
        <f t="shared" si="1"/>
        <v>5.44</v>
      </c>
      <c r="T81" s="266">
        <f t="shared" si="2"/>
        <v>6</v>
      </c>
      <c r="U81" s="272">
        <f t="shared" si="3"/>
        <v>5.44</v>
      </c>
      <c r="V81" s="272">
        <f t="shared" si="3"/>
        <v>5.44</v>
      </c>
      <c r="W81" s="266">
        <f t="shared" si="4"/>
        <v>5.8</v>
      </c>
      <c r="X81" s="272">
        <f t="shared" si="5"/>
        <v>5.44</v>
      </c>
      <c r="Y81" s="272">
        <f t="shared" si="5"/>
        <v>5.44</v>
      </c>
      <c r="Z81" s="266">
        <f t="shared" si="6"/>
        <v>5.6</v>
      </c>
      <c r="AA81" s="272">
        <f t="shared" si="7"/>
        <v>5.44</v>
      </c>
      <c r="AB81" s="272">
        <f t="shared" si="7"/>
        <v>5.44</v>
      </c>
      <c r="AC81" s="266">
        <v>5.4</v>
      </c>
      <c r="AD81" s="272">
        <v>5.4</v>
      </c>
      <c r="AE81" s="272">
        <v>5.4</v>
      </c>
      <c r="AF81" s="266">
        <v>5.2</v>
      </c>
      <c r="AG81" s="272">
        <v>5.2</v>
      </c>
      <c r="AH81" s="272">
        <v>5.2</v>
      </c>
      <c r="AI81" s="266">
        <v>5</v>
      </c>
      <c r="AJ81" s="272">
        <v>5</v>
      </c>
      <c r="AK81" s="272">
        <v>5</v>
      </c>
      <c r="AL81" s="266">
        <v>4.8</v>
      </c>
      <c r="AM81" s="272">
        <v>4.8</v>
      </c>
      <c r="AN81" s="272">
        <v>4.8</v>
      </c>
    </row>
    <row r="82" spans="1:40" ht="13.5" customHeight="1" x14ac:dyDescent="0.25">
      <c r="B82" s="34">
        <v>62</v>
      </c>
      <c r="C82" s="34">
        <f>YEAR(Input!$E$11)+Leistungen!B82</f>
        <v>2047</v>
      </c>
      <c r="D82" s="277">
        <v>262</v>
      </c>
      <c r="E82" s="265"/>
      <c r="F82" s="265"/>
      <c r="G82" s="265"/>
      <c r="H82" s="265"/>
      <c r="I82" s="265"/>
      <c r="J82" s="272"/>
      <c r="K82" s="265"/>
      <c r="L82" s="265"/>
      <c r="M82" s="272"/>
      <c r="N82" s="265"/>
      <c r="O82" s="265"/>
      <c r="P82" s="272"/>
      <c r="Q82" s="266">
        <f t="shared" si="0"/>
        <v>6.35</v>
      </c>
      <c r="R82" s="272">
        <f t="shared" si="1"/>
        <v>5.57</v>
      </c>
      <c r="S82" s="272">
        <f t="shared" si="1"/>
        <v>5.57</v>
      </c>
      <c r="T82" s="266">
        <f t="shared" si="2"/>
        <v>6.15</v>
      </c>
      <c r="U82" s="272">
        <f t="shared" si="3"/>
        <v>5.57</v>
      </c>
      <c r="V82" s="272">
        <f t="shared" si="3"/>
        <v>5.57</v>
      </c>
      <c r="W82" s="266">
        <f t="shared" si="4"/>
        <v>5.95</v>
      </c>
      <c r="X82" s="272">
        <f t="shared" si="5"/>
        <v>5.57</v>
      </c>
      <c r="Y82" s="272">
        <f t="shared" si="5"/>
        <v>5.57</v>
      </c>
      <c r="Z82" s="266">
        <f t="shared" si="6"/>
        <v>5.75</v>
      </c>
      <c r="AA82" s="272">
        <f t="shared" si="7"/>
        <v>5.57</v>
      </c>
      <c r="AB82" s="272">
        <f t="shared" si="7"/>
        <v>5.57</v>
      </c>
      <c r="AC82" s="266">
        <v>5.55</v>
      </c>
      <c r="AD82" s="272">
        <v>5.55</v>
      </c>
      <c r="AE82" s="272">
        <v>5.55</v>
      </c>
      <c r="AF82" s="266">
        <v>5.35</v>
      </c>
      <c r="AG82" s="272">
        <v>5.35</v>
      </c>
      <c r="AH82" s="272">
        <v>5.35</v>
      </c>
      <c r="AI82" s="266">
        <v>5.15</v>
      </c>
      <c r="AJ82" s="272">
        <v>5.15</v>
      </c>
      <c r="AK82" s="272">
        <v>5.15</v>
      </c>
      <c r="AL82" s="266">
        <v>4.95</v>
      </c>
      <c r="AM82" s="272">
        <v>4.95</v>
      </c>
      <c r="AN82" s="272">
        <v>4.95</v>
      </c>
    </row>
    <row r="83" spans="1:40" ht="13.5" customHeight="1" x14ac:dyDescent="0.25">
      <c r="B83" s="34">
        <v>63</v>
      </c>
      <c r="C83" s="34">
        <f>YEAR(Input!$E$11)+Leistungen!B83</f>
        <v>2048</v>
      </c>
      <c r="D83" s="277">
        <v>263</v>
      </c>
      <c r="E83" s="265"/>
      <c r="F83" s="265"/>
      <c r="G83" s="265"/>
      <c r="H83" s="265"/>
      <c r="I83" s="265"/>
      <c r="J83" s="272"/>
      <c r="K83" s="265"/>
      <c r="L83" s="265"/>
      <c r="M83" s="272"/>
      <c r="N83" s="265"/>
      <c r="O83" s="265"/>
      <c r="P83" s="272"/>
      <c r="Q83" s="266">
        <f t="shared" si="0"/>
        <v>6.5</v>
      </c>
      <c r="R83" s="272">
        <f t="shared" si="1"/>
        <v>5.71</v>
      </c>
      <c r="S83" s="272">
        <f t="shared" si="1"/>
        <v>5.71</v>
      </c>
      <c r="T83" s="266">
        <f t="shared" si="2"/>
        <v>6.3</v>
      </c>
      <c r="U83" s="272">
        <f t="shared" si="3"/>
        <v>5.71</v>
      </c>
      <c r="V83" s="272">
        <f t="shared" si="3"/>
        <v>5.71</v>
      </c>
      <c r="W83" s="266">
        <f t="shared" si="4"/>
        <v>6.1</v>
      </c>
      <c r="X83" s="272">
        <f t="shared" si="5"/>
        <v>5.71</v>
      </c>
      <c r="Y83" s="272">
        <f t="shared" si="5"/>
        <v>5.71</v>
      </c>
      <c r="Z83" s="266">
        <f t="shared" si="6"/>
        <v>5.9</v>
      </c>
      <c r="AA83" s="272">
        <f t="shared" si="7"/>
        <v>5.71</v>
      </c>
      <c r="AB83" s="272">
        <f t="shared" si="7"/>
        <v>5.71</v>
      </c>
      <c r="AC83" s="266">
        <v>5.7</v>
      </c>
      <c r="AD83" s="272">
        <v>5.7</v>
      </c>
      <c r="AE83" s="272">
        <v>5.7</v>
      </c>
      <c r="AF83" s="266">
        <v>5.5</v>
      </c>
      <c r="AG83" s="272">
        <v>5.5</v>
      </c>
      <c r="AH83" s="272">
        <v>5.5</v>
      </c>
      <c r="AI83" s="266">
        <v>5.3</v>
      </c>
      <c r="AJ83" s="272">
        <v>5.3</v>
      </c>
      <c r="AK83" s="272">
        <v>5.3</v>
      </c>
      <c r="AL83" s="266">
        <v>5.0999999999999996</v>
      </c>
      <c r="AM83" s="272">
        <v>5.0999999999999996</v>
      </c>
      <c r="AN83" s="272">
        <v>5.0999999999999996</v>
      </c>
    </row>
    <row r="84" spans="1:40" ht="13.5" customHeight="1" x14ac:dyDescent="0.25">
      <c r="B84" s="34">
        <v>64</v>
      </c>
      <c r="C84" s="34">
        <f>YEAR(Input!$E$11)+Leistungen!B84</f>
        <v>2049</v>
      </c>
      <c r="D84" s="277">
        <v>264</v>
      </c>
      <c r="E84" s="265"/>
      <c r="F84" s="265"/>
      <c r="G84" s="265"/>
      <c r="H84" s="265"/>
      <c r="I84" s="265"/>
      <c r="J84" s="272"/>
      <c r="K84" s="265"/>
      <c r="L84" s="265"/>
      <c r="M84" s="272"/>
      <c r="N84" s="265"/>
      <c r="O84" s="265"/>
      <c r="P84" s="272"/>
      <c r="Q84" s="266">
        <f t="shared" si="0"/>
        <v>6.65</v>
      </c>
      <c r="R84" s="272">
        <f t="shared" si="1"/>
        <v>5.85</v>
      </c>
      <c r="S84" s="272">
        <f t="shared" si="1"/>
        <v>5.85</v>
      </c>
      <c r="T84" s="266">
        <f t="shared" si="2"/>
        <v>6.45</v>
      </c>
      <c r="U84" s="272">
        <f t="shared" si="3"/>
        <v>5.85</v>
      </c>
      <c r="V84" s="272">
        <f t="shared" si="3"/>
        <v>5.85</v>
      </c>
      <c r="W84" s="266">
        <f t="shared" si="4"/>
        <v>6.25</v>
      </c>
      <c r="X84" s="272">
        <f t="shared" si="5"/>
        <v>5.85</v>
      </c>
      <c r="Y84" s="272">
        <f t="shared" si="5"/>
        <v>5.85</v>
      </c>
      <c r="Z84" s="266">
        <f t="shared" si="6"/>
        <v>6.05</v>
      </c>
      <c r="AA84" s="272">
        <f t="shared" si="7"/>
        <v>5.85</v>
      </c>
      <c r="AB84" s="272">
        <f t="shared" si="7"/>
        <v>5.85</v>
      </c>
      <c r="AC84" s="266">
        <v>5.85</v>
      </c>
      <c r="AD84" s="272">
        <v>5.85</v>
      </c>
      <c r="AE84" s="272">
        <v>5.85</v>
      </c>
      <c r="AF84" s="266">
        <v>5.65</v>
      </c>
      <c r="AG84" s="272">
        <v>5.65</v>
      </c>
      <c r="AH84" s="272">
        <v>5.65</v>
      </c>
      <c r="AI84" s="266">
        <v>5.45</v>
      </c>
      <c r="AJ84" s="272">
        <v>5.45</v>
      </c>
      <c r="AK84" s="272">
        <v>5.45</v>
      </c>
      <c r="AL84" s="266">
        <v>5.25</v>
      </c>
      <c r="AM84" s="272">
        <v>5.25</v>
      </c>
      <c r="AN84" s="272">
        <v>5.25</v>
      </c>
    </row>
    <row r="85" spans="1:40" ht="13.5" customHeight="1" x14ac:dyDescent="0.25">
      <c r="B85" s="34">
        <v>65</v>
      </c>
      <c r="C85" s="34">
        <f>YEAR(Input!$E$11)+Leistungen!B85</f>
        <v>2050</v>
      </c>
      <c r="D85" s="277">
        <v>265</v>
      </c>
      <c r="E85" s="265"/>
      <c r="F85" s="265"/>
      <c r="G85" s="265"/>
      <c r="H85" s="265"/>
      <c r="I85" s="265"/>
      <c r="J85" s="272"/>
      <c r="K85" s="265"/>
      <c r="L85" s="265"/>
      <c r="M85" s="272"/>
      <c r="N85" s="265"/>
      <c r="O85" s="265"/>
      <c r="P85" s="272"/>
      <c r="Q85" s="266">
        <f t="shared" si="0"/>
        <v>6.8</v>
      </c>
      <c r="R85" s="272">
        <f t="shared" si="1"/>
        <v>6.01</v>
      </c>
      <c r="S85" s="272">
        <f t="shared" si="1"/>
        <v>6.01</v>
      </c>
      <c r="T85" s="266">
        <f t="shared" si="2"/>
        <v>6.6</v>
      </c>
      <c r="U85" s="272">
        <f t="shared" si="3"/>
        <v>6.01</v>
      </c>
      <c r="V85" s="272">
        <f t="shared" si="3"/>
        <v>6.01</v>
      </c>
      <c r="W85" s="266">
        <f t="shared" si="4"/>
        <v>6.4</v>
      </c>
      <c r="X85" s="272">
        <f t="shared" si="5"/>
        <v>6.01</v>
      </c>
      <c r="Y85" s="272">
        <f t="shared" si="5"/>
        <v>6.01</v>
      </c>
      <c r="Z85" s="266">
        <f t="shared" si="6"/>
        <v>6.2</v>
      </c>
      <c r="AA85" s="272">
        <f t="shared" si="7"/>
        <v>6.01</v>
      </c>
      <c r="AB85" s="272">
        <f t="shared" si="7"/>
        <v>6.01</v>
      </c>
      <c r="AC85" s="266">
        <v>6</v>
      </c>
      <c r="AD85" s="272">
        <v>6</v>
      </c>
      <c r="AE85" s="272">
        <v>6</v>
      </c>
      <c r="AF85" s="266">
        <v>5.8</v>
      </c>
      <c r="AG85" s="272">
        <v>5.8</v>
      </c>
      <c r="AH85" s="272">
        <v>5.8</v>
      </c>
      <c r="AI85" s="266">
        <v>5.6</v>
      </c>
      <c r="AJ85" s="272">
        <v>5.6</v>
      </c>
      <c r="AK85" s="272">
        <v>5.6</v>
      </c>
      <c r="AL85" s="266">
        <v>5.4</v>
      </c>
      <c r="AM85" s="272">
        <v>5.4</v>
      </c>
      <c r="AN85" s="272">
        <v>5.4</v>
      </c>
    </row>
    <row r="86" spans="1:40" ht="13.5" customHeight="1" x14ac:dyDescent="0.25">
      <c r="B86" s="34">
        <v>66</v>
      </c>
      <c r="C86" s="34">
        <f>YEAR(Input!$E$11)+Leistungen!B86</f>
        <v>2051</v>
      </c>
      <c r="D86" s="277">
        <v>266</v>
      </c>
      <c r="E86" s="265"/>
      <c r="F86" s="265"/>
      <c r="G86" s="265"/>
      <c r="H86" s="265"/>
      <c r="I86" s="265"/>
      <c r="J86" s="272"/>
      <c r="K86" s="265"/>
      <c r="L86" s="265"/>
      <c r="M86" s="272"/>
      <c r="N86" s="265"/>
      <c r="O86" s="265"/>
      <c r="P86" s="272"/>
      <c r="Q86" s="266">
        <f t="shared" si="0"/>
        <v>6.95</v>
      </c>
      <c r="R86" s="272">
        <f t="shared" si="1"/>
        <v>6.17</v>
      </c>
      <c r="S86" s="272">
        <f t="shared" si="1"/>
        <v>6.17</v>
      </c>
      <c r="T86" s="266">
        <f t="shared" si="2"/>
        <v>6.75</v>
      </c>
      <c r="U86" s="272">
        <f t="shared" si="3"/>
        <v>6.17</v>
      </c>
      <c r="V86" s="272">
        <f t="shared" si="3"/>
        <v>6.17</v>
      </c>
      <c r="W86" s="266">
        <f t="shared" si="4"/>
        <v>6.55</v>
      </c>
      <c r="X86" s="272">
        <f t="shared" si="5"/>
        <v>6.17</v>
      </c>
      <c r="Y86" s="272">
        <f t="shared" si="5"/>
        <v>6.17</v>
      </c>
      <c r="Z86" s="266">
        <f t="shared" si="6"/>
        <v>6.35</v>
      </c>
      <c r="AA86" s="272">
        <f t="shared" si="7"/>
        <v>6.17</v>
      </c>
      <c r="AB86" s="272">
        <f t="shared" si="7"/>
        <v>6.17</v>
      </c>
      <c r="AC86" s="266">
        <v>6.15</v>
      </c>
      <c r="AD86" s="272">
        <v>6.15</v>
      </c>
      <c r="AE86" s="272">
        <v>6.15</v>
      </c>
      <c r="AF86" s="266">
        <v>5.95</v>
      </c>
      <c r="AG86" s="272">
        <v>5.95</v>
      </c>
      <c r="AH86" s="272">
        <v>5.95</v>
      </c>
      <c r="AI86" s="266">
        <v>5.75</v>
      </c>
      <c r="AJ86" s="272">
        <v>5.75</v>
      </c>
      <c r="AK86" s="272">
        <v>5.75</v>
      </c>
      <c r="AL86" s="266">
        <v>5.55</v>
      </c>
      <c r="AM86" s="272">
        <v>5.55</v>
      </c>
      <c r="AN86" s="272">
        <v>5.55</v>
      </c>
    </row>
    <row r="87" spans="1:40" ht="13.5" customHeight="1" x14ac:dyDescent="0.25">
      <c r="B87" s="34">
        <v>67</v>
      </c>
      <c r="C87" s="34">
        <f>YEAR(Input!$E$11)+Leistungen!B87</f>
        <v>2052</v>
      </c>
      <c r="D87" s="277">
        <v>267</v>
      </c>
      <c r="E87" s="265"/>
      <c r="F87" s="265"/>
      <c r="G87" s="265"/>
      <c r="H87" s="265"/>
      <c r="I87" s="265"/>
      <c r="J87" s="272"/>
      <c r="K87" s="265"/>
      <c r="L87" s="265"/>
      <c r="M87" s="272"/>
      <c r="N87" s="265"/>
      <c r="O87" s="265"/>
      <c r="P87" s="272"/>
      <c r="Q87" s="266">
        <f t="shared" si="0"/>
        <v>7.1</v>
      </c>
      <c r="R87" s="272">
        <f t="shared" si="1"/>
        <v>6.34</v>
      </c>
      <c r="S87" s="272">
        <f t="shared" si="1"/>
        <v>6.34</v>
      </c>
      <c r="T87" s="266">
        <f t="shared" si="2"/>
        <v>6.9</v>
      </c>
      <c r="U87" s="272">
        <f t="shared" si="3"/>
        <v>6.34</v>
      </c>
      <c r="V87" s="272">
        <f t="shared" si="3"/>
        <v>6.34</v>
      </c>
      <c r="W87" s="266">
        <f t="shared" si="4"/>
        <v>6.7</v>
      </c>
      <c r="X87" s="272">
        <f t="shared" si="5"/>
        <v>6.34</v>
      </c>
      <c r="Y87" s="272">
        <f t="shared" si="5"/>
        <v>6.34</v>
      </c>
      <c r="Z87" s="266">
        <f t="shared" si="6"/>
        <v>6.5</v>
      </c>
      <c r="AA87" s="272">
        <f t="shared" si="7"/>
        <v>6.34</v>
      </c>
      <c r="AB87" s="272">
        <f t="shared" si="7"/>
        <v>6.34</v>
      </c>
      <c r="AC87" s="266">
        <v>6.3</v>
      </c>
      <c r="AD87" s="272">
        <v>6.3</v>
      </c>
      <c r="AE87" s="272">
        <v>6.3</v>
      </c>
      <c r="AF87" s="266">
        <v>6.1</v>
      </c>
      <c r="AG87" s="272">
        <v>6.1</v>
      </c>
      <c r="AH87" s="272">
        <v>6.1</v>
      </c>
      <c r="AI87" s="266">
        <v>5.9</v>
      </c>
      <c r="AJ87" s="272">
        <v>5.9</v>
      </c>
      <c r="AK87" s="272">
        <v>5.9</v>
      </c>
      <c r="AL87" s="266">
        <v>5.7</v>
      </c>
      <c r="AM87" s="272">
        <v>5.7</v>
      </c>
      <c r="AN87" s="272">
        <v>5.7</v>
      </c>
    </row>
    <row r="88" spans="1:40" ht="13.5" customHeight="1" x14ac:dyDescent="0.25">
      <c r="B88" s="34">
        <v>68</v>
      </c>
      <c r="C88" s="34">
        <f>YEAR(Input!$E$11)+Leistungen!B88</f>
        <v>2053</v>
      </c>
      <c r="D88" s="277">
        <v>268</v>
      </c>
      <c r="E88" s="265"/>
      <c r="F88" s="265"/>
      <c r="G88" s="265"/>
      <c r="H88" s="265"/>
      <c r="I88" s="265"/>
      <c r="J88" s="272"/>
      <c r="K88" s="265"/>
      <c r="L88" s="265"/>
      <c r="M88" s="272"/>
      <c r="N88" s="265"/>
      <c r="O88" s="265"/>
      <c r="P88" s="272"/>
      <c r="Q88" s="266">
        <f t="shared" si="0"/>
        <v>7.25</v>
      </c>
      <c r="R88" s="272">
        <f t="shared" si="1"/>
        <v>6.53</v>
      </c>
      <c r="S88" s="272">
        <f t="shared" si="1"/>
        <v>6.53</v>
      </c>
      <c r="T88" s="266">
        <f t="shared" si="2"/>
        <v>7.05</v>
      </c>
      <c r="U88" s="272">
        <f t="shared" si="3"/>
        <v>6.53</v>
      </c>
      <c r="V88" s="272">
        <f t="shared" si="3"/>
        <v>6.53</v>
      </c>
      <c r="W88" s="266">
        <f t="shared" si="4"/>
        <v>6.85</v>
      </c>
      <c r="X88" s="272">
        <f t="shared" si="5"/>
        <v>6.53</v>
      </c>
      <c r="Y88" s="272">
        <f t="shared" si="5"/>
        <v>6.53</v>
      </c>
      <c r="Z88" s="266">
        <f t="shared" si="6"/>
        <v>6.6499999999999897</v>
      </c>
      <c r="AA88" s="272">
        <f t="shared" si="7"/>
        <v>6.53</v>
      </c>
      <c r="AB88" s="272">
        <f t="shared" si="7"/>
        <v>6.53</v>
      </c>
      <c r="AC88" s="266">
        <v>6.45</v>
      </c>
      <c r="AD88" s="272">
        <v>6.45</v>
      </c>
      <c r="AE88" s="272">
        <v>6.45</v>
      </c>
      <c r="AF88" s="266">
        <v>6.25</v>
      </c>
      <c r="AG88" s="272">
        <v>6.25</v>
      </c>
      <c r="AH88" s="272">
        <v>6.25</v>
      </c>
      <c r="AI88" s="266">
        <v>6.05</v>
      </c>
      <c r="AJ88" s="272">
        <v>6.05</v>
      </c>
      <c r="AK88" s="272">
        <v>6.05</v>
      </c>
      <c r="AL88" s="266">
        <v>5.85</v>
      </c>
      <c r="AM88" s="272">
        <v>5.85</v>
      </c>
      <c r="AN88" s="272">
        <v>5.85</v>
      </c>
    </row>
    <row r="89" spans="1:40" ht="13.5" customHeight="1" x14ac:dyDescent="0.25">
      <c r="B89" s="34">
        <v>69</v>
      </c>
      <c r="C89" s="34">
        <f>YEAR(Input!$E$11)+Leistungen!B89</f>
        <v>2054</v>
      </c>
      <c r="D89" s="277">
        <v>269</v>
      </c>
      <c r="E89" s="265"/>
      <c r="F89" s="265"/>
      <c r="G89" s="265"/>
      <c r="H89" s="265"/>
      <c r="I89" s="265"/>
      <c r="J89" s="272"/>
      <c r="K89" s="265"/>
      <c r="L89" s="265"/>
      <c r="M89" s="272"/>
      <c r="N89" s="265"/>
      <c r="O89" s="265"/>
      <c r="P89" s="272"/>
      <c r="Q89" s="266">
        <f t="shared" si="0"/>
        <v>7.4</v>
      </c>
      <c r="R89" s="272">
        <f t="shared" si="1"/>
        <v>6.73</v>
      </c>
      <c r="S89" s="272">
        <f t="shared" si="1"/>
        <v>6.73</v>
      </c>
      <c r="T89" s="266">
        <f t="shared" si="2"/>
        <v>7.2</v>
      </c>
      <c r="U89" s="272">
        <f t="shared" si="3"/>
        <v>6.73</v>
      </c>
      <c r="V89" s="272">
        <f t="shared" si="3"/>
        <v>6.73</v>
      </c>
      <c r="W89" s="266">
        <f t="shared" si="4"/>
        <v>7</v>
      </c>
      <c r="X89" s="272">
        <f t="shared" si="5"/>
        <v>6.73</v>
      </c>
      <c r="Y89" s="272">
        <f t="shared" si="5"/>
        <v>6.73</v>
      </c>
      <c r="Z89" s="266">
        <f t="shared" si="6"/>
        <v>6.7999999999999901</v>
      </c>
      <c r="AA89" s="272">
        <f t="shared" si="7"/>
        <v>6.73</v>
      </c>
      <c r="AB89" s="272">
        <f t="shared" si="7"/>
        <v>6.73</v>
      </c>
      <c r="AC89" s="266">
        <v>6.6</v>
      </c>
      <c r="AD89" s="274">
        <v>6.6</v>
      </c>
      <c r="AE89" s="274">
        <v>6.6</v>
      </c>
      <c r="AF89" s="266">
        <v>6.4</v>
      </c>
      <c r="AG89" s="274">
        <v>6.4</v>
      </c>
      <c r="AH89" s="274">
        <v>6.4</v>
      </c>
      <c r="AI89" s="266">
        <v>6.2</v>
      </c>
      <c r="AJ89" s="274">
        <v>6.2</v>
      </c>
      <c r="AK89" s="274">
        <v>6.2</v>
      </c>
      <c r="AL89" s="266">
        <v>6</v>
      </c>
      <c r="AM89" s="274">
        <v>6</v>
      </c>
      <c r="AN89" s="274">
        <v>6</v>
      </c>
    </row>
    <row r="90" spans="1:40" ht="13.5" customHeight="1" x14ac:dyDescent="0.25">
      <c r="B90" s="34">
        <v>70</v>
      </c>
      <c r="C90" s="34">
        <f>YEAR(Input!$E$11)+Leistungen!B90</f>
        <v>2055</v>
      </c>
      <c r="D90" s="277">
        <v>270</v>
      </c>
      <c r="E90" s="265"/>
      <c r="F90" s="265"/>
      <c r="G90" s="265"/>
      <c r="H90" s="265"/>
      <c r="I90" s="265"/>
      <c r="J90" s="272"/>
      <c r="K90" s="265"/>
      <c r="L90" s="265"/>
      <c r="M90" s="272"/>
      <c r="N90" s="265"/>
      <c r="O90" s="265"/>
      <c r="P90" s="272"/>
      <c r="Q90" s="266">
        <f t="shared" si="0"/>
        <v>7.55</v>
      </c>
      <c r="R90" s="272">
        <f t="shared" si="1"/>
        <v>6.95</v>
      </c>
      <c r="S90" s="272">
        <f t="shared" si="1"/>
        <v>6.95</v>
      </c>
      <c r="T90" s="266">
        <f t="shared" si="2"/>
        <v>7.35</v>
      </c>
      <c r="U90" s="272">
        <f t="shared" si="3"/>
        <v>6.95</v>
      </c>
      <c r="V90" s="272">
        <f t="shared" si="3"/>
        <v>6.95</v>
      </c>
      <c r="W90" s="266">
        <f t="shared" si="4"/>
        <v>7.15</v>
      </c>
      <c r="X90" s="272">
        <f t="shared" si="5"/>
        <v>6.95</v>
      </c>
      <c r="Y90" s="272">
        <f t="shared" si="5"/>
        <v>6.95</v>
      </c>
      <c r="Z90" s="271">
        <f t="shared" si="6"/>
        <v>6.9499999999999904</v>
      </c>
      <c r="AA90" s="272">
        <f t="shared" si="7"/>
        <v>6.95</v>
      </c>
      <c r="AB90" s="272">
        <f t="shared" si="7"/>
        <v>6.95</v>
      </c>
      <c r="AC90" s="271">
        <v>6.75</v>
      </c>
      <c r="AD90" s="274">
        <v>6.75</v>
      </c>
      <c r="AE90" s="274">
        <v>6.75</v>
      </c>
      <c r="AF90" s="271">
        <v>6.55</v>
      </c>
      <c r="AG90" s="274">
        <v>6.55</v>
      </c>
      <c r="AH90" s="274">
        <v>6.55</v>
      </c>
      <c r="AI90" s="271">
        <v>6.35</v>
      </c>
      <c r="AJ90" s="274">
        <v>6.35</v>
      </c>
      <c r="AK90" s="274">
        <v>6.35</v>
      </c>
      <c r="AL90" s="271">
        <v>6.15</v>
      </c>
      <c r="AM90" s="274">
        <v>6.15</v>
      </c>
      <c r="AN90" s="274">
        <v>6.15</v>
      </c>
    </row>
    <row r="93" spans="1:40" ht="17.399999999999999" x14ac:dyDescent="0.3">
      <c r="A93" s="38" t="s">
        <v>1084</v>
      </c>
      <c r="B93" s="39"/>
    </row>
    <row r="94" spans="1:40" ht="17.399999999999999" x14ac:dyDescent="0.3">
      <c r="A94" s="38"/>
      <c r="B94" s="39"/>
    </row>
    <row r="95" spans="1:40" s="43" customFormat="1" ht="10.8" x14ac:dyDescent="0.2">
      <c r="A95" s="43">
        <v>1</v>
      </c>
      <c r="B95" s="44">
        <v>2</v>
      </c>
      <c r="C95" s="43">
        <v>3</v>
      </c>
      <c r="D95" s="43">
        <v>4</v>
      </c>
      <c r="E95" s="43">
        <v>5</v>
      </c>
      <c r="F95" s="43">
        <v>6</v>
      </c>
      <c r="G95" s="43">
        <v>7</v>
      </c>
      <c r="H95" s="43">
        <v>8</v>
      </c>
      <c r="I95" s="43">
        <v>9</v>
      </c>
      <c r="J95" s="43">
        <v>10</v>
      </c>
      <c r="K95" s="43">
        <v>11</v>
      </c>
      <c r="L95" s="43">
        <v>12</v>
      </c>
      <c r="M95" s="43">
        <v>13</v>
      </c>
    </row>
    <row r="96" spans="1:40" x14ac:dyDescent="0.25">
      <c r="B96" s="105" t="s">
        <v>965</v>
      </c>
      <c r="C96" s="104" t="s">
        <v>966</v>
      </c>
      <c r="D96" s="104" t="s">
        <v>967</v>
      </c>
      <c r="E96" s="104" t="s">
        <v>968</v>
      </c>
      <c r="F96" s="104" t="s">
        <v>969</v>
      </c>
      <c r="G96" s="104" t="s">
        <v>2186</v>
      </c>
      <c r="H96" s="104" t="s">
        <v>2187</v>
      </c>
      <c r="I96" s="104" t="s">
        <v>1618</v>
      </c>
      <c r="J96" s="104" t="s">
        <v>2188</v>
      </c>
      <c r="K96" s="104" t="s">
        <v>1090</v>
      </c>
      <c r="L96" s="104" t="s">
        <v>974</v>
      </c>
      <c r="M96" s="104" t="s">
        <v>975</v>
      </c>
    </row>
    <row r="97" spans="1:13" x14ac:dyDescent="0.25">
      <c r="A97" s="106">
        <v>26</v>
      </c>
      <c r="B97" s="346">
        <v>7.0000000000000007E-2</v>
      </c>
      <c r="C97" s="346">
        <v>0.11</v>
      </c>
      <c r="D97" s="346">
        <v>0.16500000000000001</v>
      </c>
      <c r="E97" s="346">
        <v>0.2</v>
      </c>
      <c r="F97" s="346">
        <v>0.21</v>
      </c>
      <c r="G97" s="346">
        <v>0.08</v>
      </c>
      <c r="H97" s="346">
        <v>0.09</v>
      </c>
      <c r="I97" s="346">
        <v>0.05</v>
      </c>
      <c r="J97" s="346">
        <v>6.0000000000000005E-2</v>
      </c>
      <c r="K97" s="346">
        <v>0</v>
      </c>
      <c r="L97" s="346">
        <v>0.02</v>
      </c>
      <c r="M97" s="346">
        <v>0.04</v>
      </c>
    </row>
    <row r="98" spans="1:13" x14ac:dyDescent="0.25">
      <c r="A98" s="106">
        <v>27</v>
      </c>
      <c r="B98" s="346">
        <v>0.14099999999999999</v>
      </c>
      <c r="C98" s="346">
        <v>0.222</v>
      </c>
      <c r="D98" s="346">
        <v>0.33300000000000002</v>
      </c>
      <c r="E98" s="346">
        <v>0.40400000000000003</v>
      </c>
      <c r="F98" s="346">
        <v>0.42299999999999999</v>
      </c>
      <c r="G98" s="346">
        <v>0.16160000000000002</v>
      </c>
      <c r="H98" s="346">
        <v>0.18179999999999999</v>
      </c>
      <c r="I98" s="346">
        <v>0.10100000000000001</v>
      </c>
      <c r="J98" s="346">
        <v>0.1212</v>
      </c>
      <c r="K98" s="346">
        <v>0</v>
      </c>
      <c r="L98" s="346">
        <v>0.04</v>
      </c>
      <c r="M98" s="346">
        <v>8.1000000000000003E-2</v>
      </c>
    </row>
    <row r="99" spans="1:13" x14ac:dyDescent="0.25">
      <c r="A99" s="106">
        <v>28</v>
      </c>
      <c r="B99" s="346">
        <v>0.214</v>
      </c>
      <c r="C99" s="346">
        <v>0.33700000000000002</v>
      </c>
      <c r="D99" s="346">
        <v>0.505</v>
      </c>
      <c r="E99" s="346">
        <v>0.61199999999999999</v>
      </c>
      <c r="F99" s="346">
        <v>0.63800000000000001</v>
      </c>
      <c r="G99" s="346">
        <v>0.24483200000000005</v>
      </c>
      <c r="H99" s="346">
        <v>0.27543600000000001</v>
      </c>
      <c r="I99" s="346">
        <v>0.15302000000000002</v>
      </c>
      <c r="J99" s="346">
        <v>0.18362400000000001</v>
      </c>
      <c r="K99" s="346">
        <v>0</v>
      </c>
      <c r="L99" s="346">
        <v>6.0999999999999999E-2</v>
      </c>
      <c r="M99" s="346">
        <v>0.122</v>
      </c>
    </row>
    <row r="100" spans="1:13" x14ac:dyDescent="0.25">
      <c r="A100" s="106">
        <v>29</v>
      </c>
      <c r="B100" s="346">
        <v>0.28899999999999998</v>
      </c>
      <c r="C100" s="346">
        <v>0.45300000000000001</v>
      </c>
      <c r="D100" s="346">
        <v>0.68</v>
      </c>
      <c r="E100" s="346">
        <v>0.82399999999999995</v>
      </c>
      <c r="F100" s="346">
        <v>0.85499999999999998</v>
      </c>
      <c r="G100" s="346">
        <v>0.32972864000000007</v>
      </c>
      <c r="H100" s="346">
        <v>0.37094472000000001</v>
      </c>
      <c r="I100" s="346">
        <v>0.2060804</v>
      </c>
      <c r="J100" s="346">
        <v>0.24729648000000001</v>
      </c>
      <c r="K100" s="346">
        <v>0</v>
      </c>
      <c r="L100" s="346">
        <v>8.2000000000000003E-2</v>
      </c>
      <c r="M100" s="346">
        <v>0.16500000000000001</v>
      </c>
    </row>
    <row r="101" spans="1:13" x14ac:dyDescent="0.25">
      <c r="A101" s="106">
        <v>30</v>
      </c>
      <c r="B101" s="346">
        <v>0.36399999999999999</v>
      </c>
      <c r="C101" s="346">
        <v>0.57199999999999995</v>
      </c>
      <c r="D101" s="346">
        <v>0.85899999999999999</v>
      </c>
      <c r="E101" s="346">
        <v>1.04</v>
      </c>
      <c r="F101" s="346">
        <v>1.0760000000000001</v>
      </c>
      <c r="G101" s="346">
        <v>0.41632321280000012</v>
      </c>
      <c r="H101" s="346">
        <v>0.46836361439999996</v>
      </c>
      <c r="I101" s="346">
        <v>0.26020200799999998</v>
      </c>
      <c r="J101" s="346">
        <v>0.31224240959999999</v>
      </c>
      <c r="K101" s="346">
        <v>0</v>
      </c>
      <c r="L101" s="346">
        <v>0.104</v>
      </c>
      <c r="M101" s="346">
        <v>0.20799999999999999</v>
      </c>
    </row>
    <row r="102" spans="1:13" x14ac:dyDescent="0.25">
      <c r="A102" s="106">
        <v>31</v>
      </c>
      <c r="B102" s="346">
        <v>0.442</v>
      </c>
      <c r="C102" s="346">
        <v>0.69399999999999995</v>
      </c>
      <c r="D102" s="346">
        <v>1.0409999999999999</v>
      </c>
      <c r="E102" s="346">
        <v>1.26</v>
      </c>
      <c r="F102" s="346">
        <v>1.298</v>
      </c>
      <c r="G102" s="346">
        <v>0.50464967705600017</v>
      </c>
      <c r="H102" s="346">
        <v>0.56773088668799998</v>
      </c>
      <c r="I102" s="346">
        <v>0.31540604815999995</v>
      </c>
      <c r="J102" s="346">
        <v>0.37848725779199999</v>
      </c>
      <c r="K102" s="346">
        <v>0</v>
      </c>
      <c r="L102" s="346">
        <v>0.126</v>
      </c>
      <c r="M102" s="346">
        <v>0.252</v>
      </c>
    </row>
    <row r="103" spans="1:13" x14ac:dyDescent="0.25">
      <c r="A103" s="106">
        <v>32</v>
      </c>
      <c r="B103" s="346">
        <v>0.52</v>
      </c>
      <c r="C103" s="346">
        <v>0.81799999999999995</v>
      </c>
      <c r="D103" s="346">
        <v>1.2270000000000001</v>
      </c>
      <c r="E103" s="346">
        <v>1.4850000000000001</v>
      </c>
      <c r="F103" s="346">
        <v>1.524</v>
      </c>
      <c r="G103" s="346">
        <v>0.59474267059712016</v>
      </c>
      <c r="H103" s="346">
        <v>0.66908550442175996</v>
      </c>
      <c r="I103" s="346">
        <v>0.37171416912319993</v>
      </c>
      <c r="J103" s="346">
        <v>0.44605700294784001</v>
      </c>
      <c r="K103" s="346">
        <v>0</v>
      </c>
      <c r="L103" s="346">
        <v>0.14899999999999999</v>
      </c>
      <c r="M103" s="346">
        <v>0.29699999999999999</v>
      </c>
    </row>
    <row r="104" spans="1:13" x14ac:dyDescent="0.25">
      <c r="A104" s="106">
        <v>33</v>
      </c>
      <c r="B104" s="346">
        <v>0.60099999999999998</v>
      </c>
      <c r="C104" s="346">
        <v>0.94399999999999995</v>
      </c>
      <c r="D104" s="346">
        <v>1.4159999999999999</v>
      </c>
      <c r="E104" s="346">
        <v>1.714</v>
      </c>
      <c r="F104" s="346">
        <v>1.752</v>
      </c>
      <c r="G104" s="346">
        <v>0.68663752400906253</v>
      </c>
      <c r="H104" s="346">
        <v>0.77246721451019518</v>
      </c>
      <c r="I104" s="346">
        <v>0.42914845250566391</v>
      </c>
      <c r="J104" s="346">
        <v>0.5149781430067969</v>
      </c>
      <c r="K104" s="346">
        <v>0</v>
      </c>
      <c r="L104" s="346">
        <v>0.17199999999999999</v>
      </c>
      <c r="M104" s="346">
        <v>0.34300000000000003</v>
      </c>
    </row>
    <row r="105" spans="1:13" x14ac:dyDescent="0.25">
      <c r="A105" s="106">
        <v>34</v>
      </c>
      <c r="B105" s="346">
        <v>0.68300000000000005</v>
      </c>
      <c r="C105" s="346">
        <v>1.073</v>
      </c>
      <c r="D105" s="346">
        <v>1.61</v>
      </c>
      <c r="E105" s="346">
        <v>1.9470000000000001</v>
      </c>
      <c r="F105" s="346">
        <v>1.9830000000000001</v>
      </c>
      <c r="G105" s="346">
        <v>0.78037027448924379</v>
      </c>
      <c r="H105" s="346">
        <v>0.87791655880039909</v>
      </c>
      <c r="I105" s="346">
        <v>0.4877314215557772</v>
      </c>
      <c r="J105" s="346">
        <v>0.58527770586693295</v>
      </c>
      <c r="K105" s="346">
        <v>0</v>
      </c>
      <c r="L105" s="346">
        <v>0.19500000000000001</v>
      </c>
      <c r="M105" s="346">
        <v>0.39</v>
      </c>
    </row>
    <row r="106" spans="1:13" x14ac:dyDescent="0.25">
      <c r="A106" s="106">
        <v>35</v>
      </c>
      <c r="B106" s="346">
        <v>0.76600000000000001</v>
      </c>
      <c r="C106" s="346">
        <v>1.204</v>
      </c>
      <c r="D106" s="346">
        <v>1.8069999999999999</v>
      </c>
      <c r="E106" s="346">
        <v>2.1850000000000001</v>
      </c>
      <c r="F106" s="346">
        <v>2.2170000000000001</v>
      </c>
      <c r="G106" s="346">
        <v>0.87597767997902865</v>
      </c>
      <c r="H106" s="346">
        <v>0.98547488997640709</v>
      </c>
      <c r="I106" s="346">
        <v>0.54748604998689276</v>
      </c>
      <c r="J106" s="346">
        <v>0.65698325998427165</v>
      </c>
      <c r="K106" s="346">
        <v>0</v>
      </c>
      <c r="L106" s="346">
        <v>0.219</v>
      </c>
      <c r="M106" s="346">
        <v>0.438</v>
      </c>
    </row>
    <row r="107" spans="1:13" x14ac:dyDescent="0.25">
      <c r="A107" s="106">
        <v>36</v>
      </c>
      <c r="B107" s="346">
        <v>0.88200000000000001</v>
      </c>
      <c r="C107" s="346">
        <v>1.349</v>
      </c>
      <c r="D107" s="346">
        <v>2.008</v>
      </c>
      <c r="E107" s="346">
        <v>2.4279999999999999</v>
      </c>
      <c r="F107" s="346">
        <v>2.464</v>
      </c>
      <c r="G107" s="346">
        <v>1.0034972335786092</v>
      </c>
      <c r="H107" s="346">
        <v>1.1251843877759353</v>
      </c>
      <c r="I107" s="346">
        <v>0.62843577098663062</v>
      </c>
      <c r="J107" s="346">
        <v>0.75012292518395707</v>
      </c>
      <c r="K107" s="346">
        <v>0</v>
      </c>
      <c r="L107" s="346">
        <v>0.24299999999999999</v>
      </c>
      <c r="M107" s="346">
        <v>0.47699999999999998</v>
      </c>
    </row>
    <row r="108" spans="1:13" x14ac:dyDescent="0.25">
      <c r="A108" s="106">
        <v>37</v>
      </c>
      <c r="B108" s="346">
        <v>0.999</v>
      </c>
      <c r="C108" s="346">
        <v>1.496</v>
      </c>
      <c r="D108" s="346">
        <v>2.2130000000000001</v>
      </c>
      <c r="E108" s="346">
        <v>2.6749999999999998</v>
      </c>
      <c r="F108" s="346">
        <v>2.7130000000000001</v>
      </c>
      <c r="G108" s="346">
        <v>1.1335671782501815</v>
      </c>
      <c r="H108" s="346">
        <v>1.2676880755314541</v>
      </c>
      <c r="I108" s="346">
        <v>0.71100448640636316</v>
      </c>
      <c r="J108" s="346">
        <v>0.84512538368763623</v>
      </c>
      <c r="K108" s="346">
        <v>0</v>
      </c>
      <c r="L108" s="346">
        <v>0.26800000000000002</v>
      </c>
      <c r="M108" s="346">
        <v>0.51600000000000001</v>
      </c>
    </row>
    <row r="109" spans="1:13" x14ac:dyDescent="0.25">
      <c r="A109" s="106">
        <v>38</v>
      </c>
      <c r="B109" s="346">
        <v>1.119</v>
      </c>
      <c r="C109" s="346">
        <v>1.645</v>
      </c>
      <c r="D109" s="346">
        <v>2.4220000000000002</v>
      </c>
      <c r="E109" s="346">
        <v>2.927</v>
      </c>
      <c r="F109" s="346">
        <v>2.9660000000000002</v>
      </c>
      <c r="G109" s="346">
        <v>1.2662385218151853</v>
      </c>
      <c r="H109" s="346">
        <v>1.4130418370420834</v>
      </c>
      <c r="I109" s="346">
        <v>0.79522457613449049</v>
      </c>
      <c r="J109" s="346">
        <v>0.94202789136138898</v>
      </c>
      <c r="K109" s="346">
        <v>0</v>
      </c>
      <c r="L109" s="346">
        <v>0.29399999999999998</v>
      </c>
      <c r="M109" s="346">
        <v>0.55700000000000005</v>
      </c>
    </row>
    <row r="110" spans="1:13" x14ac:dyDescent="0.25">
      <c r="A110" s="106">
        <v>39</v>
      </c>
      <c r="B110" s="346">
        <v>1.242</v>
      </c>
      <c r="C110" s="346">
        <v>1.798</v>
      </c>
      <c r="D110" s="346">
        <v>2.6360000000000001</v>
      </c>
      <c r="E110" s="346">
        <v>3.1840000000000002</v>
      </c>
      <c r="F110" s="346">
        <v>3.2210000000000001</v>
      </c>
      <c r="G110" s="346">
        <v>1.4015632922514891</v>
      </c>
      <c r="H110" s="346">
        <v>1.561302673782925</v>
      </c>
      <c r="I110" s="346">
        <v>0.88112906765718035</v>
      </c>
      <c r="J110" s="346">
        <v>1.0408684491886169</v>
      </c>
      <c r="K110" s="346">
        <v>0</v>
      </c>
      <c r="L110" s="346">
        <v>0.31900000000000001</v>
      </c>
      <c r="M110" s="346">
        <v>0.59799999999999998</v>
      </c>
    </row>
    <row r="111" spans="1:13" x14ac:dyDescent="0.25">
      <c r="A111" s="106">
        <v>40</v>
      </c>
      <c r="B111" s="346">
        <v>1.367</v>
      </c>
      <c r="C111" s="346">
        <v>1.954</v>
      </c>
      <c r="D111" s="346">
        <v>2.8530000000000002</v>
      </c>
      <c r="E111" s="346">
        <v>3.4460000000000002</v>
      </c>
      <c r="F111" s="346">
        <v>3.48</v>
      </c>
      <c r="G111" s="346">
        <v>1.5395945580965191</v>
      </c>
      <c r="H111" s="346">
        <v>1.7125287272585834</v>
      </c>
      <c r="I111" s="346">
        <v>0.96875164901032407</v>
      </c>
      <c r="J111" s="346">
        <v>1.1416858181723892</v>
      </c>
      <c r="K111" s="346">
        <v>0</v>
      </c>
      <c r="L111" s="346">
        <v>0.34599999999999997</v>
      </c>
      <c r="M111" s="346">
        <v>0.64</v>
      </c>
    </row>
    <row r="112" spans="1:13" x14ac:dyDescent="0.25">
      <c r="A112" s="106">
        <v>41</v>
      </c>
      <c r="B112" s="346">
        <v>1.494</v>
      </c>
      <c r="C112" s="346">
        <v>2.113</v>
      </c>
      <c r="D112" s="346">
        <v>3.0750000000000002</v>
      </c>
      <c r="E112" s="346">
        <v>3.7130000000000001</v>
      </c>
      <c r="F112" s="346">
        <v>3.742</v>
      </c>
      <c r="G112" s="346">
        <v>1.6803864492584497</v>
      </c>
      <c r="H112" s="346">
        <v>1.8667793018037551</v>
      </c>
      <c r="I112" s="346">
        <v>1.0581266819905306</v>
      </c>
      <c r="J112" s="346">
        <v>1.2445195345358371</v>
      </c>
      <c r="K112" s="346">
        <v>0</v>
      </c>
      <c r="L112" s="346">
        <v>0.373</v>
      </c>
      <c r="M112" s="346">
        <v>0.68200000000000005</v>
      </c>
    </row>
    <row r="113" spans="1:13" x14ac:dyDescent="0.25">
      <c r="A113" s="106">
        <v>42</v>
      </c>
      <c r="B113" s="346">
        <v>1.6240000000000001</v>
      </c>
      <c r="C113" s="346">
        <v>2.2759999999999998</v>
      </c>
      <c r="D113" s="346">
        <v>3.302</v>
      </c>
      <c r="E113" s="346">
        <v>3.9860000000000002</v>
      </c>
      <c r="F113" s="346">
        <v>4.0069999999999997</v>
      </c>
      <c r="G113" s="346">
        <v>1.8239941782436189</v>
      </c>
      <c r="H113" s="346">
        <v>2.0241148878398301</v>
      </c>
      <c r="I113" s="346">
        <v>1.1492892156303414</v>
      </c>
      <c r="J113" s="346">
        <v>1.3494099252265539</v>
      </c>
      <c r="K113" s="346">
        <v>0</v>
      </c>
      <c r="L113" s="346">
        <v>0.4</v>
      </c>
      <c r="M113" s="346">
        <v>0.72599999999999998</v>
      </c>
    </row>
    <row r="114" spans="1:13" x14ac:dyDescent="0.25">
      <c r="A114" s="106">
        <v>43</v>
      </c>
      <c r="B114" s="346">
        <v>1.756</v>
      </c>
      <c r="C114" s="346">
        <v>2.4409999999999998</v>
      </c>
      <c r="D114" s="346">
        <v>3.5329999999999999</v>
      </c>
      <c r="E114" s="346">
        <v>4.2640000000000002</v>
      </c>
      <c r="F114" s="346">
        <v>4.2750000000000004</v>
      </c>
      <c r="G114" s="346">
        <v>1.9704740618084913</v>
      </c>
      <c r="H114" s="346">
        <v>2.1845971855966266</v>
      </c>
      <c r="I114" s="346">
        <v>1.2422749999429483</v>
      </c>
      <c r="J114" s="346">
        <v>1.456398123731085</v>
      </c>
      <c r="K114" s="346">
        <v>0</v>
      </c>
      <c r="L114" s="346">
        <v>0.42799999999999999</v>
      </c>
      <c r="M114" s="346">
        <v>0.77100000000000002</v>
      </c>
    </row>
    <row r="115" spans="1:13" x14ac:dyDescent="0.25">
      <c r="A115" s="106">
        <v>44</v>
      </c>
      <c r="B115" s="346">
        <v>1.891</v>
      </c>
      <c r="C115" s="346">
        <v>2.61</v>
      </c>
      <c r="D115" s="346">
        <v>3.7690000000000001</v>
      </c>
      <c r="E115" s="346">
        <v>4.5469999999999997</v>
      </c>
      <c r="F115" s="346">
        <v>4.5460000000000003</v>
      </c>
      <c r="G115" s="346">
        <v>2.119883543044661</v>
      </c>
      <c r="H115" s="346">
        <v>2.3482891293085593</v>
      </c>
      <c r="I115" s="346">
        <v>1.3371204999418074</v>
      </c>
      <c r="J115" s="346">
        <v>1.5655260862057068</v>
      </c>
      <c r="K115" s="346">
        <v>0</v>
      </c>
      <c r="L115" s="346">
        <v>0.45700000000000002</v>
      </c>
      <c r="M115" s="346">
        <v>0.81599999999999995</v>
      </c>
    </row>
    <row r="116" spans="1:13" x14ac:dyDescent="0.25">
      <c r="A116" s="106">
        <v>45</v>
      </c>
      <c r="B116" s="346">
        <v>2.0289999999999999</v>
      </c>
      <c r="C116" s="346">
        <v>2.782</v>
      </c>
      <c r="D116" s="346">
        <v>4.0090000000000003</v>
      </c>
      <c r="E116" s="346">
        <v>4.835</v>
      </c>
      <c r="F116" s="346">
        <v>4.8209999999999997</v>
      </c>
      <c r="G116" s="346">
        <v>2.2722812139055542</v>
      </c>
      <c r="H116" s="346">
        <v>2.5152549118947305</v>
      </c>
      <c r="I116" s="346">
        <v>1.4338629099406437</v>
      </c>
      <c r="J116" s="346">
        <v>1.6768366079298209</v>
      </c>
      <c r="K116" s="346">
        <v>0</v>
      </c>
      <c r="L116" s="346">
        <v>0.48599999999999999</v>
      </c>
      <c r="M116" s="346">
        <v>0.86199999999999999</v>
      </c>
    </row>
    <row r="117" spans="1:13" x14ac:dyDescent="0.25">
      <c r="A117" s="106">
        <v>46</v>
      </c>
      <c r="B117" s="346">
        <v>2.2200000000000002</v>
      </c>
      <c r="C117" s="346">
        <v>2.988</v>
      </c>
      <c r="D117" s="346">
        <v>4.2539999999999996</v>
      </c>
      <c r="E117" s="346">
        <v>5.13</v>
      </c>
      <c r="F117" s="346">
        <v>5.109</v>
      </c>
      <c r="G117" s="346">
        <v>2.4777268381836652</v>
      </c>
      <c r="H117" s="346">
        <v>2.735560010132625</v>
      </c>
      <c r="I117" s="346">
        <v>1.5625401681394566</v>
      </c>
      <c r="J117" s="346">
        <v>1.8203733400884174</v>
      </c>
      <c r="K117" s="346">
        <v>0</v>
      </c>
      <c r="L117" s="346">
        <v>0.51600000000000001</v>
      </c>
      <c r="M117" s="346">
        <v>0.9</v>
      </c>
    </row>
    <row r="118" spans="1:13" x14ac:dyDescent="0.25">
      <c r="A118" s="106">
        <v>47</v>
      </c>
      <c r="B118" s="346">
        <v>2.4140000000000001</v>
      </c>
      <c r="C118" s="346">
        <v>3.198</v>
      </c>
      <c r="D118" s="346">
        <v>4.5039999999999996</v>
      </c>
      <c r="E118" s="346">
        <v>5.43</v>
      </c>
      <c r="F118" s="346">
        <v>5.4</v>
      </c>
      <c r="G118" s="346">
        <v>2.6872813749473385</v>
      </c>
      <c r="H118" s="346">
        <v>2.9602712103352773</v>
      </c>
      <c r="I118" s="346">
        <v>1.6937909715022459</v>
      </c>
      <c r="J118" s="346">
        <v>1.966780806890186</v>
      </c>
      <c r="K118" s="346">
        <v>0</v>
      </c>
      <c r="L118" s="346">
        <v>0.54600000000000004</v>
      </c>
      <c r="M118" s="346">
        <v>0.93799999999999994</v>
      </c>
    </row>
    <row r="119" spans="1:13" x14ac:dyDescent="0.25">
      <c r="A119" s="106">
        <v>48</v>
      </c>
      <c r="B119" s="346">
        <v>2.613</v>
      </c>
      <c r="C119" s="346">
        <v>3.4119999999999999</v>
      </c>
      <c r="D119" s="346">
        <v>4.7590000000000003</v>
      </c>
      <c r="E119" s="346">
        <v>5.7359999999999998</v>
      </c>
      <c r="F119" s="346">
        <v>5.6950000000000003</v>
      </c>
      <c r="G119" s="346">
        <v>2.9010270024462854</v>
      </c>
      <c r="H119" s="346">
        <v>3.1894766345419829</v>
      </c>
      <c r="I119" s="346">
        <v>1.827666790932291</v>
      </c>
      <c r="J119" s="346">
        <v>2.1161164230279894</v>
      </c>
      <c r="K119" s="346">
        <v>0</v>
      </c>
      <c r="L119" s="346">
        <v>0.57699999999999996</v>
      </c>
      <c r="M119" s="346">
        <v>0.97599999999999998</v>
      </c>
    </row>
    <row r="120" spans="1:13" x14ac:dyDescent="0.25">
      <c r="A120" s="106">
        <v>49</v>
      </c>
      <c r="B120" s="346">
        <v>2.8149999999999999</v>
      </c>
      <c r="C120" s="346">
        <v>3.63</v>
      </c>
      <c r="D120" s="346">
        <v>5.0199999999999996</v>
      </c>
      <c r="E120" s="346">
        <v>6.0469999999999997</v>
      </c>
      <c r="F120" s="346">
        <v>5.9930000000000003</v>
      </c>
      <c r="G120" s="346">
        <v>3.1190475424952111</v>
      </c>
      <c r="H120" s="346">
        <v>3.4232661672328226</v>
      </c>
      <c r="I120" s="346">
        <v>1.9642201267509369</v>
      </c>
      <c r="J120" s="346">
        <v>2.2684387514885489</v>
      </c>
      <c r="K120" s="346">
        <v>0</v>
      </c>
      <c r="L120" s="346">
        <v>0.60799999999999998</v>
      </c>
      <c r="M120" s="346">
        <v>1.016</v>
      </c>
    </row>
    <row r="121" spans="1:13" x14ac:dyDescent="0.25">
      <c r="A121" s="106">
        <v>50</v>
      </c>
      <c r="B121" s="346">
        <v>3.0209999999999999</v>
      </c>
      <c r="C121" s="346">
        <v>3.8519999999999999</v>
      </c>
      <c r="D121" s="346">
        <v>5.2850000000000001</v>
      </c>
      <c r="E121" s="346">
        <v>6.3650000000000002</v>
      </c>
      <c r="F121" s="346">
        <v>6.2949999999999999</v>
      </c>
      <c r="G121" s="346">
        <v>3.3414284933451155</v>
      </c>
      <c r="H121" s="346">
        <v>3.6617314905774792</v>
      </c>
      <c r="I121" s="346">
        <v>2.103504529285956</v>
      </c>
      <c r="J121" s="346">
        <v>2.4238075265183197</v>
      </c>
      <c r="K121" s="346">
        <v>0</v>
      </c>
      <c r="L121" s="346">
        <v>0.64100000000000001</v>
      </c>
      <c r="M121" s="346">
        <v>1.056</v>
      </c>
    </row>
    <row r="122" spans="1:13" x14ac:dyDescent="0.25">
      <c r="A122" s="106">
        <v>51</v>
      </c>
      <c r="B122" s="346">
        <v>3.2320000000000002</v>
      </c>
      <c r="C122" s="346">
        <v>4.0789999999999997</v>
      </c>
      <c r="D122" s="346">
        <v>5.556</v>
      </c>
      <c r="E122" s="346">
        <v>6.6890000000000001</v>
      </c>
      <c r="F122" s="346">
        <v>6.6</v>
      </c>
      <c r="G122" s="346">
        <v>3.5682570632120179</v>
      </c>
      <c r="H122" s="346">
        <v>3.9049661203890289</v>
      </c>
      <c r="I122" s="346">
        <v>2.2455746198716753</v>
      </c>
      <c r="J122" s="346">
        <v>2.5822836770486859</v>
      </c>
      <c r="K122" s="346">
        <v>0</v>
      </c>
      <c r="L122" s="346">
        <v>0.67300000000000004</v>
      </c>
      <c r="M122" s="346">
        <v>1.097</v>
      </c>
    </row>
    <row r="123" spans="1:13" x14ac:dyDescent="0.25">
      <c r="A123" s="106">
        <v>52</v>
      </c>
      <c r="B123" s="346">
        <v>3.4460000000000002</v>
      </c>
      <c r="C123" s="346">
        <v>4.3109999999999999</v>
      </c>
      <c r="D123" s="346">
        <v>5.8319999999999999</v>
      </c>
      <c r="E123" s="346">
        <v>7.02</v>
      </c>
      <c r="F123" s="346">
        <v>6.91</v>
      </c>
      <c r="G123" s="346">
        <v>3.7996222044762584</v>
      </c>
      <c r="H123" s="346">
        <v>4.1530654427968097</v>
      </c>
      <c r="I123" s="346">
        <v>2.3904861122691088</v>
      </c>
      <c r="J123" s="346">
        <v>2.7439293505896596</v>
      </c>
      <c r="K123" s="346">
        <v>0</v>
      </c>
      <c r="L123" s="346">
        <v>0.70699999999999996</v>
      </c>
      <c r="M123" s="346">
        <v>1.139</v>
      </c>
    </row>
    <row r="124" spans="1:13" x14ac:dyDescent="0.25">
      <c r="A124" s="106">
        <v>53</v>
      </c>
      <c r="B124" s="346">
        <v>3.665</v>
      </c>
      <c r="C124" s="346">
        <v>4.5469999999999997</v>
      </c>
      <c r="D124" s="346">
        <v>6.1130000000000004</v>
      </c>
      <c r="E124" s="346">
        <v>7.3570000000000002</v>
      </c>
      <c r="F124" s="346">
        <v>7.2229999999999999</v>
      </c>
      <c r="G124" s="346">
        <v>4.035614648565784</v>
      </c>
      <c r="H124" s="346">
        <v>4.4061267516527458</v>
      </c>
      <c r="I124" s="346">
        <v>2.538295834514491</v>
      </c>
      <c r="J124" s="346">
        <v>2.9088079376014528</v>
      </c>
      <c r="K124" s="346">
        <v>0</v>
      </c>
      <c r="L124" s="346">
        <v>0.74099999999999999</v>
      </c>
      <c r="M124" s="346">
        <v>1.1819999999999999</v>
      </c>
    </row>
    <row r="125" spans="1:13" x14ac:dyDescent="0.25">
      <c r="A125" s="106">
        <v>54</v>
      </c>
      <c r="B125" s="346">
        <v>3.8879999999999999</v>
      </c>
      <c r="C125" s="346">
        <v>4.7880000000000003</v>
      </c>
      <c r="D125" s="346">
        <v>6.4009999999999998</v>
      </c>
      <c r="E125" s="346">
        <v>7.7</v>
      </c>
      <c r="F125" s="346">
        <v>7.5389999999999997</v>
      </c>
      <c r="G125" s="346">
        <v>4.2763269415370999</v>
      </c>
      <c r="H125" s="346">
        <v>4.6642492866858003</v>
      </c>
      <c r="I125" s="346">
        <v>2.6890617512047812</v>
      </c>
      <c r="J125" s="346">
        <v>3.076984096353482</v>
      </c>
      <c r="K125" s="346">
        <v>0</v>
      </c>
      <c r="L125" s="346">
        <v>0.77600000000000002</v>
      </c>
      <c r="M125" s="346">
        <v>1.226</v>
      </c>
    </row>
    <row r="126" spans="1:13" x14ac:dyDescent="0.25">
      <c r="A126" s="106">
        <v>55</v>
      </c>
      <c r="B126" s="346">
        <v>4.1159999999999997</v>
      </c>
      <c r="C126" s="346">
        <v>5.0339999999999998</v>
      </c>
      <c r="D126" s="346">
        <v>6.694</v>
      </c>
      <c r="E126" s="346">
        <v>8.0500000000000007</v>
      </c>
      <c r="F126" s="346">
        <v>7.88</v>
      </c>
      <c r="G126" s="346">
        <v>4.5218534803678425</v>
      </c>
      <c r="H126" s="346">
        <v>4.9275342724195159</v>
      </c>
      <c r="I126" s="346">
        <v>2.8428429862288769</v>
      </c>
      <c r="J126" s="346">
        <v>3.2485237782805516</v>
      </c>
      <c r="K126" s="346">
        <v>0</v>
      </c>
      <c r="L126" s="346">
        <v>0.81100000000000005</v>
      </c>
      <c r="M126" s="346">
        <v>1.27</v>
      </c>
    </row>
    <row r="127" spans="1:13" x14ac:dyDescent="0.25">
      <c r="A127" s="106">
        <v>56</v>
      </c>
      <c r="B127" s="346">
        <v>4.3780000000000001</v>
      </c>
      <c r="C127" s="346">
        <v>5.3150000000000004</v>
      </c>
      <c r="D127" s="346">
        <v>7.008</v>
      </c>
      <c r="E127" s="346">
        <v>8.407</v>
      </c>
      <c r="F127" s="346">
        <v>8.2240000000000002</v>
      </c>
      <c r="G127" s="346">
        <v>4.8022905499751998</v>
      </c>
      <c r="H127" s="346">
        <v>5.2260849578679061</v>
      </c>
      <c r="I127" s="346">
        <v>3.0196998459534545</v>
      </c>
      <c r="J127" s="346">
        <v>3.4434942538461626</v>
      </c>
      <c r="K127" s="346">
        <v>0</v>
      </c>
      <c r="L127" s="346">
        <v>0.82799999999999996</v>
      </c>
      <c r="M127" s="346">
        <v>1.296</v>
      </c>
    </row>
    <row r="128" spans="1:13" x14ac:dyDescent="0.25">
      <c r="A128" s="106">
        <v>57</v>
      </c>
      <c r="B128" s="346">
        <v>4.6459999999999999</v>
      </c>
      <c r="C128" s="346">
        <v>5.601</v>
      </c>
      <c r="D128" s="346">
        <v>7.3280000000000003</v>
      </c>
      <c r="E128" s="346">
        <v>8.7710000000000008</v>
      </c>
      <c r="F128" s="346">
        <v>8.5730000000000004</v>
      </c>
      <c r="G128" s="346">
        <v>5.0883363609747043</v>
      </c>
      <c r="H128" s="346">
        <v>5.5306066570252641</v>
      </c>
      <c r="I128" s="346">
        <v>3.2000938428725236</v>
      </c>
      <c r="J128" s="346">
        <v>3.6423641389230856</v>
      </c>
      <c r="K128" s="346">
        <v>0</v>
      </c>
      <c r="L128" s="346">
        <v>0.84399999999999997</v>
      </c>
      <c r="M128" s="346">
        <v>1.3220000000000001</v>
      </c>
    </row>
    <row r="129" spans="1:13" x14ac:dyDescent="0.25">
      <c r="A129" s="106">
        <v>58</v>
      </c>
      <c r="B129" s="346">
        <v>4.9189999999999996</v>
      </c>
      <c r="C129" s="346">
        <v>5.8929999999999998</v>
      </c>
      <c r="D129" s="346">
        <v>7.6539999999999999</v>
      </c>
      <c r="E129" s="346">
        <v>9.1419999999999995</v>
      </c>
      <c r="F129" s="346">
        <v>8.9260000000000002</v>
      </c>
      <c r="G129" s="346">
        <v>5.3801030881941987</v>
      </c>
      <c r="H129" s="346">
        <v>5.8412187901657697</v>
      </c>
      <c r="I129" s="346">
        <v>3.3840957197299741</v>
      </c>
      <c r="J129" s="346">
        <v>3.8452114217015474</v>
      </c>
      <c r="K129" s="346">
        <v>0</v>
      </c>
      <c r="L129" s="346">
        <v>0.86099999999999999</v>
      </c>
      <c r="M129" s="346">
        <v>1.3480000000000001</v>
      </c>
    </row>
    <row r="130" spans="1:13" x14ac:dyDescent="0.25">
      <c r="A130" s="106">
        <v>59</v>
      </c>
      <c r="B130" s="346">
        <v>5.1970000000000001</v>
      </c>
      <c r="C130" s="346">
        <v>6.1909999999999998</v>
      </c>
      <c r="D130" s="346">
        <v>7.9870000000000001</v>
      </c>
      <c r="E130" s="346">
        <v>9.5210000000000008</v>
      </c>
      <c r="F130" s="346">
        <v>9.2829999999999995</v>
      </c>
      <c r="G130" s="346">
        <v>5.6777051499580828</v>
      </c>
      <c r="H130" s="346">
        <v>6.1580431659690857</v>
      </c>
      <c r="I130" s="346">
        <v>3.5717776341245737</v>
      </c>
      <c r="J130" s="346">
        <v>4.0521156501355788</v>
      </c>
      <c r="K130" s="346">
        <v>0</v>
      </c>
      <c r="L130" s="346">
        <v>0.878</v>
      </c>
      <c r="M130" s="346">
        <v>1.375</v>
      </c>
    </row>
    <row r="131" spans="1:13" x14ac:dyDescent="0.25">
      <c r="A131" s="106">
        <v>60</v>
      </c>
      <c r="B131" s="346">
        <v>5.4809999999999999</v>
      </c>
      <c r="C131" s="346">
        <v>6.4950000000000001</v>
      </c>
      <c r="D131" s="346">
        <v>8.327</v>
      </c>
      <c r="E131" s="346">
        <v>9.9060000000000006</v>
      </c>
      <c r="F131" s="346">
        <v>9.6440000000000001</v>
      </c>
      <c r="G131" s="346">
        <v>5.981259252957245</v>
      </c>
      <c r="H131" s="346">
        <v>6.4812040292884676</v>
      </c>
      <c r="I131" s="346">
        <v>3.7632131868070653</v>
      </c>
      <c r="J131" s="346">
        <v>4.2631579631382905</v>
      </c>
      <c r="K131" s="346">
        <v>0</v>
      </c>
      <c r="L131" s="346">
        <v>0.89600000000000002</v>
      </c>
      <c r="M131" s="346">
        <v>1.4019999999999999</v>
      </c>
    </row>
    <row r="132" spans="1:13" x14ac:dyDescent="0.25">
      <c r="A132" s="106">
        <v>61</v>
      </c>
      <c r="B132" s="346">
        <v>5.7709999999999999</v>
      </c>
      <c r="C132" s="346">
        <v>6.8049999999999997</v>
      </c>
      <c r="D132" s="346">
        <v>8.6739999999999995</v>
      </c>
      <c r="E132" s="346">
        <v>10.106</v>
      </c>
      <c r="F132" s="346">
        <v>9.8940000000000001</v>
      </c>
      <c r="G132" s="346">
        <v>6.2908844380163904</v>
      </c>
      <c r="H132" s="346">
        <v>6.8108281098742376</v>
      </c>
      <c r="I132" s="346">
        <v>3.958477450543207</v>
      </c>
      <c r="J132" s="346">
        <v>4.4784211224010564</v>
      </c>
      <c r="K132" s="346">
        <v>0</v>
      </c>
      <c r="L132" s="346">
        <v>0.91400000000000003</v>
      </c>
      <c r="M132" s="346">
        <v>1.431</v>
      </c>
    </row>
    <row r="133" spans="1:13" x14ac:dyDescent="0.25">
      <c r="A133" s="106">
        <v>62</v>
      </c>
      <c r="B133" s="346">
        <v>6.0659999999999998</v>
      </c>
      <c r="C133" s="346">
        <v>7.1210000000000004</v>
      </c>
      <c r="D133" s="346">
        <v>9.0269999999999992</v>
      </c>
      <c r="E133" s="346">
        <v>10.305999999999999</v>
      </c>
      <c r="F133" s="346">
        <v>10.144</v>
      </c>
      <c r="G133" s="346">
        <v>6.6067021267767183</v>
      </c>
      <c r="H133" s="346">
        <v>7.1470446720717229</v>
      </c>
      <c r="I133" s="346">
        <v>4.1576469995540712</v>
      </c>
      <c r="J133" s="346">
        <v>4.6979895448490776</v>
      </c>
      <c r="K133" s="346">
        <v>0</v>
      </c>
      <c r="L133" s="346">
        <v>0.93200000000000005</v>
      </c>
      <c r="M133" s="346">
        <v>1.4590000000000001</v>
      </c>
    </row>
    <row r="134" spans="1:13" x14ac:dyDescent="0.25">
      <c r="A134" s="106">
        <v>63</v>
      </c>
      <c r="B134" s="346">
        <v>6.3680000000000003</v>
      </c>
      <c r="C134" s="346">
        <v>7.4429999999999996</v>
      </c>
      <c r="D134" s="346">
        <v>9.3879999999999999</v>
      </c>
      <c r="E134" s="346">
        <v>10.506</v>
      </c>
      <c r="F134" s="346">
        <v>10.394</v>
      </c>
      <c r="G134" s="346">
        <v>6.9288361693122535</v>
      </c>
      <c r="H134" s="346">
        <v>7.489985565513158</v>
      </c>
      <c r="I134" s="346">
        <v>4.3607999395451529</v>
      </c>
      <c r="J134" s="346">
        <v>4.9219493357460591</v>
      </c>
      <c r="K134" s="346">
        <v>0</v>
      </c>
      <c r="L134" s="346">
        <v>0.95099999999999996</v>
      </c>
      <c r="M134" s="346">
        <v>1.488</v>
      </c>
    </row>
    <row r="135" spans="1:13" x14ac:dyDescent="0.25">
      <c r="A135" s="106">
        <v>64</v>
      </c>
      <c r="B135" s="346">
        <v>6.6749999999999998</v>
      </c>
      <c r="C135" s="346">
        <v>7.7720000000000002</v>
      </c>
      <c r="D135" s="346">
        <v>9.7550000000000008</v>
      </c>
      <c r="E135" s="346">
        <v>10.706</v>
      </c>
      <c r="F135" s="346">
        <v>10.644</v>
      </c>
      <c r="G135" s="346">
        <v>7.2574128926984995</v>
      </c>
      <c r="H135" s="346">
        <v>7.8397852768234211</v>
      </c>
      <c r="I135" s="346">
        <v>4.5680159383360559</v>
      </c>
      <c r="J135" s="346">
        <v>5.1503883224609801</v>
      </c>
      <c r="K135" s="346">
        <v>0</v>
      </c>
      <c r="L135" s="346">
        <v>0.97</v>
      </c>
      <c r="M135" s="346">
        <v>1.518</v>
      </c>
    </row>
    <row r="136" spans="1:13" x14ac:dyDescent="0.25">
      <c r="A136" s="107">
        <v>65</v>
      </c>
      <c r="B136" s="346">
        <v>6.9889999999999999</v>
      </c>
      <c r="C136" s="346">
        <v>8.1069999999999993</v>
      </c>
      <c r="D136" s="346">
        <v>10.131</v>
      </c>
      <c r="E136" s="346">
        <v>10.906000000000001</v>
      </c>
      <c r="F136" s="346">
        <v>10.894</v>
      </c>
      <c r="G136" s="346">
        <v>7.5925611505524699</v>
      </c>
      <c r="H136" s="346">
        <v>8.1965809823598885</v>
      </c>
      <c r="I136" s="346">
        <v>4.7793762571027774</v>
      </c>
      <c r="J136" s="346">
        <v>5.3833960889101995</v>
      </c>
      <c r="K136" s="346">
        <v>0</v>
      </c>
      <c r="L136" s="346">
        <v>0.98899999999999999</v>
      </c>
      <c r="M136" s="346">
        <v>1.548</v>
      </c>
    </row>
    <row r="139" spans="1:13" x14ac:dyDescent="0.25">
      <c r="B139" s="34"/>
      <c r="C139" s="104" t="s">
        <v>1398</v>
      </c>
      <c r="D139" s="34"/>
      <c r="E139" s="310"/>
      <c r="F139" s="104" t="s">
        <v>1120</v>
      </c>
      <c r="G139" s="34"/>
    </row>
    <row r="140" spans="1:13" s="230" customFormat="1" x14ac:dyDescent="0.25">
      <c r="B140" s="233" t="s">
        <v>1394</v>
      </c>
      <c r="C140" s="233" t="s">
        <v>1395</v>
      </c>
      <c r="D140" s="105" t="s">
        <v>1396</v>
      </c>
      <c r="E140" s="311" t="s">
        <v>1394</v>
      </c>
      <c r="F140" s="105" t="s">
        <v>1395</v>
      </c>
      <c r="G140" s="105" t="s">
        <v>1396</v>
      </c>
    </row>
    <row r="141" spans="1:13" s="230" customFormat="1" x14ac:dyDescent="0.25">
      <c r="A141" s="105">
        <v>2011</v>
      </c>
      <c r="B141" s="230">
        <v>2</v>
      </c>
      <c r="C141" s="230">
        <v>3</v>
      </c>
      <c r="D141" s="230">
        <v>4</v>
      </c>
      <c r="E141" s="312">
        <f>Input!$J$63*20%</f>
        <v>4893.4475637294508</v>
      </c>
      <c r="F141" s="313">
        <f>Input!$J$63*20%</f>
        <v>4893.4475637294508</v>
      </c>
      <c r="G141" s="314">
        <f>Input!J63*20%</f>
        <v>4893.4475637294508</v>
      </c>
    </row>
    <row r="142" spans="1:13" s="230" customFormat="1" x14ac:dyDescent="0.25">
      <c r="A142" s="105">
        <v>2012</v>
      </c>
      <c r="B142" s="230">
        <v>5</v>
      </c>
      <c r="C142" s="230">
        <v>6</v>
      </c>
      <c r="D142" s="230">
        <v>7</v>
      </c>
      <c r="E142" s="312">
        <f>Input!$J$63*20%</f>
        <v>4893.4475637294508</v>
      </c>
      <c r="F142" s="313">
        <f>Input!$J$63*20%</f>
        <v>4893.4475637294508</v>
      </c>
      <c r="G142" s="313">
        <f>Renten!$T$61*Renten!$U$61%*20%</f>
        <v>3726.6250809084058</v>
      </c>
    </row>
    <row r="143" spans="1:13" s="230" customFormat="1" x14ac:dyDescent="0.25">
      <c r="A143" s="105">
        <v>2013</v>
      </c>
      <c r="B143" s="230">
        <v>8</v>
      </c>
      <c r="C143" s="230">
        <v>9</v>
      </c>
      <c r="D143" s="230">
        <v>10</v>
      </c>
      <c r="E143" s="312">
        <f>Input!$J$63*20%</f>
        <v>4893.4475637294508</v>
      </c>
      <c r="F143" s="313">
        <f>Input!$J$63*20%</f>
        <v>4893.4475637294508</v>
      </c>
      <c r="G143" s="313">
        <f>Renten!$T$61*Renten!$U$61%*20%</f>
        <v>3726.6250809084058</v>
      </c>
    </row>
    <row r="144" spans="1:13" s="230" customFormat="1" x14ac:dyDescent="0.25">
      <c r="A144" s="105">
        <v>2014</v>
      </c>
      <c r="B144" s="230">
        <v>11</v>
      </c>
      <c r="C144" s="230">
        <v>12</v>
      </c>
      <c r="D144" s="230">
        <v>13</v>
      </c>
      <c r="E144" s="312">
        <f>Input!$J$63*20%</f>
        <v>4893.4475637294508</v>
      </c>
      <c r="F144" s="314">
        <f>Input!$J$63*20%</f>
        <v>4893.4475637294508</v>
      </c>
      <c r="G144" s="314">
        <f>Renten!$T$61*Renten!$U$61%*20%</f>
        <v>3726.6250809084058</v>
      </c>
    </row>
    <row r="145" spans="1:7" s="230" customFormat="1" x14ac:dyDescent="0.25">
      <c r="A145" s="105">
        <v>2015</v>
      </c>
      <c r="B145" s="230">
        <v>14</v>
      </c>
      <c r="C145" s="230">
        <v>15</v>
      </c>
      <c r="D145" s="230">
        <v>16</v>
      </c>
      <c r="E145" s="312">
        <f>Input!$J$63*20%</f>
        <v>4893.4475637294508</v>
      </c>
      <c r="F145" s="313">
        <f>Renten!$T$61*6.8%*20%</f>
        <v>3726.6250809084058</v>
      </c>
      <c r="G145" s="313">
        <f>Renten!$T$61*6.8%*20%</f>
        <v>3726.6250809084058</v>
      </c>
    </row>
    <row r="146" spans="1:7" s="230" customFormat="1" x14ac:dyDescent="0.25">
      <c r="A146" s="105">
        <v>2016</v>
      </c>
      <c r="B146" s="230">
        <v>17</v>
      </c>
      <c r="C146" s="230">
        <v>18</v>
      </c>
      <c r="D146" s="230">
        <v>19</v>
      </c>
      <c r="E146" s="312">
        <f>Input!$J$63*20%</f>
        <v>4893.4475637294508</v>
      </c>
      <c r="F146" s="313">
        <f>Renten!$T$61*6.8%*20%</f>
        <v>3726.6250809084058</v>
      </c>
      <c r="G146" s="313">
        <f>Renten!$T$61*6.8%*20%</f>
        <v>3726.6250809084058</v>
      </c>
    </row>
    <row r="147" spans="1:7" s="230" customFormat="1" x14ac:dyDescent="0.25">
      <c r="A147" s="105">
        <v>2017</v>
      </c>
      <c r="B147" s="230">
        <v>20</v>
      </c>
      <c r="C147" s="230">
        <v>21</v>
      </c>
      <c r="D147" s="230">
        <v>22</v>
      </c>
      <c r="E147" s="312">
        <f>Input!$J$63*20%</f>
        <v>4893.4475637294508</v>
      </c>
      <c r="F147" s="313">
        <f>Renten!$T$61*6.8%*20%</f>
        <v>3726.6250809084058</v>
      </c>
      <c r="G147" s="313">
        <f>Renten!$T$61*6.8%*20%</f>
        <v>3726.6250809084058</v>
      </c>
    </row>
    <row r="148" spans="1:7" s="230" customFormat="1" x14ac:dyDescent="0.25">
      <c r="A148" s="105">
        <v>2018</v>
      </c>
      <c r="B148" s="230">
        <v>23</v>
      </c>
      <c r="C148" s="230">
        <v>24</v>
      </c>
      <c r="D148" s="230">
        <v>25</v>
      </c>
      <c r="E148" s="312">
        <f>Input!$J$63*20%</f>
        <v>4893.4475637294508</v>
      </c>
      <c r="F148" s="313">
        <f>Renten!$T$61*6.8%*20%</f>
        <v>3726.6250809084058</v>
      </c>
      <c r="G148" s="313">
        <f>Renten!$T$61*6.8%*20%</f>
        <v>3726.6250809084058</v>
      </c>
    </row>
    <row r="149" spans="1:7" s="230" customFormat="1" x14ac:dyDescent="0.25">
      <c r="A149" s="105">
        <v>2019</v>
      </c>
      <c r="B149" s="230">
        <v>26</v>
      </c>
      <c r="C149" s="230">
        <v>27</v>
      </c>
      <c r="D149" s="230">
        <v>28</v>
      </c>
      <c r="E149" s="312">
        <f>Input!$J$63*20%</f>
        <v>4893.4475637294508</v>
      </c>
      <c r="F149" s="313">
        <f>Renten!$T$61*6.8%*20%</f>
        <v>3726.6250809084058</v>
      </c>
      <c r="G149" s="313">
        <f>Renten!$T$61*6.8%*20%</f>
        <v>3726.6250809084058</v>
      </c>
    </row>
    <row r="150" spans="1:7" s="230" customFormat="1" x14ac:dyDescent="0.25">
      <c r="A150" s="105">
        <v>2020</v>
      </c>
      <c r="B150" s="230">
        <v>29</v>
      </c>
      <c r="C150" s="230">
        <v>30</v>
      </c>
      <c r="D150" s="230">
        <v>31</v>
      </c>
      <c r="E150" s="312">
        <f>Input!$J$63*20%</f>
        <v>4893.4475637294508</v>
      </c>
      <c r="F150" s="313">
        <f>Renten!$T$61*6.8%*20%</f>
        <v>3726.6250809084058</v>
      </c>
      <c r="G150" s="313">
        <f>Renten!$T$61*6.8%*20%</f>
        <v>3726.6250809084058</v>
      </c>
    </row>
    <row r="151" spans="1:7" s="230" customFormat="1" x14ac:dyDescent="0.25">
      <c r="A151" s="105">
        <v>2021</v>
      </c>
      <c r="B151" s="230">
        <v>32</v>
      </c>
      <c r="C151" s="230">
        <v>33</v>
      </c>
      <c r="D151" s="230">
        <v>34</v>
      </c>
      <c r="E151" s="312">
        <f>Input!$J$63*20%</f>
        <v>4893.4475637294508</v>
      </c>
      <c r="F151" s="313">
        <f>Renten!$T$61*6.8%*20%</f>
        <v>3726.6250809084058</v>
      </c>
      <c r="G151" s="313">
        <f>Renten!$T$61*6.8%*20%</f>
        <v>3726.6250809084058</v>
      </c>
    </row>
    <row r="152" spans="1:7" s="230" customFormat="1" x14ac:dyDescent="0.25">
      <c r="A152" s="105">
        <v>2022</v>
      </c>
      <c r="B152" s="230">
        <v>35</v>
      </c>
      <c r="C152" s="230">
        <v>36</v>
      </c>
      <c r="D152" s="230">
        <v>37</v>
      </c>
      <c r="E152" s="312">
        <f>Input!$J$63*20%</f>
        <v>4893.4475637294508</v>
      </c>
      <c r="F152" s="313">
        <f>Renten!$T$61*6.8%*20%</f>
        <v>3726.6250809084058</v>
      </c>
      <c r="G152" s="313">
        <f>Renten!$T$61*6.8%*20%</f>
        <v>3726.6250809084058</v>
      </c>
    </row>
    <row r="153" spans="1:7" s="230" customFormat="1" x14ac:dyDescent="0.25">
      <c r="A153" s="105">
        <v>2023</v>
      </c>
      <c r="B153" s="230">
        <v>35</v>
      </c>
      <c r="C153" s="230">
        <v>36</v>
      </c>
      <c r="D153" s="230">
        <v>37</v>
      </c>
      <c r="E153" s="312">
        <f>Input!$J$63*20%</f>
        <v>4893.4475637294508</v>
      </c>
      <c r="F153" s="313">
        <f>Renten!$T$61*6.8%*20%</f>
        <v>3726.6250809084058</v>
      </c>
      <c r="G153" s="313">
        <f>Renten!$T$61*6.8%*20%</f>
        <v>3726.6250809084058</v>
      </c>
    </row>
    <row r="154" spans="1:7" s="230" customFormat="1" x14ac:dyDescent="0.25">
      <c r="A154" s="105">
        <v>2024</v>
      </c>
      <c r="B154" s="230">
        <v>35</v>
      </c>
      <c r="C154" s="230">
        <v>36</v>
      </c>
      <c r="D154" s="230">
        <v>37</v>
      </c>
      <c r="E154" s="312">
        <f>Input!$J$63*20%</f>
        <v>4893.4475637294508</v>
      </c>
      <c r="F154" s="313">
        <f>Renten!$T$61*6.8%*20%</f>
        <v>3726.6250809084058</v>
      </c>
      <c r="G154" s="313">
        <f>Renten!$T$61*6.8%*20%</f>
        <v>3726.6250809084058</v>
      </c>
    </row>
    <row r="155" spans="1:7" s="230" customFormat="1" x14ac:dyDescent="0.25">
      <c r="A155" s="105">
        <v>2025</v>
      </c>
      <c r="B155" s="230">
        <v>35</v>
      </c>
      <c r="C155" s="230">
        <v>36</v>
      </c>
      <c r="D155" s="230">
        <v>37</v>
      </c>
      <c r="E155" s="312">
        <f>Input!$J$63*20%</f>
        <v>4893.4475637294508</v>
      </c>
      <c r="F155" s="313">
        <f>Renten!$T$61*6.8%*20%</f>
        <v>3726.6250809084058</v>
      </c>
      <c r="G155" s="313">
        <f>Renten!$T$61*6.8%*20%</f>
        <v>3726.6250809084058</v>
      </c>
    </row>
    <row r="156" spans="1:7" s="230" customFormat="1" x14ac:dyDescent="0.25">
      <c r="A156" s="105">
        <v>2026</v>
      </c>
      <c r="B156" s="230">
        <v>35</v>
      </c>
      <c r="C156" s="230">
        <v>36</v>
      </c>
      <c r="D156" s="230">
        <v>37</v>
      </c>
      <c r="E156" s="312">
        <f>Input!$J$63*20%</f>
        <v>4893.4475637294508</v>
      </c>
      <c r="F156" s="313">
        <f>Renten!$T$61*6.8%*20%</f>
        <v>3726.6250809084058</v>
      </c>
      <c r="G156" s="313">
        <f>Renten!$T$61*6.8%*20%</f>
        <v>3726.6250809084058</v>
      </c>
    </row>
    <row r="157" spans="1:7" s="230" customFormat="1" x14ac:dyDescent="0.25">
      <c r="A157" s="105">
        <v>2027</v>
      </c>
      <c r="B157" s="230">
        <v>35</v>
      </c>
      <c r="C157" s="230">
        <v>36</v>
      </c>
      <c r="D157" s="230">
        <v>37</v>
      </c>
      <c r="E157" s="312">
        <f>Input!$J$63*20%</f>
        <v>4893.4475637294508</v>
      </c>
      <c r="F157" s="313">
        <f>Renten!$T$61*6.8%*20%</f>
        <v>3726.6250809084058</v>
      </c>
      <c r="G157" s="313">
        <f>Renten!$T$61*6.8%*20%</f>
        <v>3726.6250809084058</v>
      </c>
    </row>
    <row r="158" spans="1:7" s="230" customFormat="1" x14ac:dyDescent="0.25">
      <c r="A158" s="105">
        <v>2028</v>
      </c>
      <c r="B158" s="230">
        <v>35</v>
      </c>
      <c r="C158" s="230">
        <v>36</v>
      </c>
      <c r="D158" s="230">
        <v>37</v>
      </c>
      <c r="E158" s="312">
        <f>Input!$J$63*20%</f>
        <v>4893.4475637294508</v>
      </c>
      <c r="F158" s="313">
        <f>Renten!$T$61*6.8%*20%</f>
        <v>3726.6250809084058</v>
      </c>
      <c r="G158" s="313">
        <f>Renten!$T$61*6.8%*20%</f>
        <v>3726.6250809084058</v>
      </c>
    </row>
    <row r="159" spans="1:7" s="230" customFormat="1" x14ac:dyDescent="0.25">
      <c r="A159" s="105">
        <v>2029</v>
      </c>
      <c r="B159" s="230">
        <v>35</v>
      </c>
      <c r="C159" s="230">
        <v>36</v>
      </c>
      <c r="D159" s="230">
        <v>37</v>
      </c>
      <c r="E159" s="312">
        <f>Input!$J$63*20%</f>
        <v>4893.4475637294508</v>
      </c>
      <c r="F159" s="313">
        <f>Renten!$T$61*6.8%*20%</f>
        <v>3726.6250809084058</v>
      </c>
      <c r="G159" s="313">
        <f>Renten!$T$61*6.8%*20%</f>
        <v>3726.6250809084058</v>
      </c>
    </row>
    <row r="160" spans="1:7" s="230" customFormat="1" x14ac:dyDescent="0.25">
      <c r="A160" s="105">
        <v>2030</v>
      </c>
      <c r="B160" s="230">
        <v>35</v>
      </c>
      <c r="C160" s="230">
        <v>36</v>
      </c>
      <c r="D160" s="230">
        <v>37</v>
      </c>
      <c r="E160" s="312">
        <f>Input!$J$63*20%</f>
        <v>4893.4475637294508</v>
      </c>
      <c r="F160" s="313">
        <f>Renten!$T$61*6.8%*20%</f>
        <v>3726.6250809084058</v>
      </c>
      <c r="G160" s="313">
        <f>Renten!$T$61*6.8%*20%</f>
        <v>3726.6250809084058</v>
      </c>
    </row>
    <row r="161" spans="1:7" s="230" customFormat="1" x14ac:dyDescent="0.25">
      <c r="A161" s="105">
        <v>2031</v>
      </c>
      <c r="B161" s="230">
        <v>35</v>
      </c>
      <c r="C161" s="230">
        <v>36</v>
      </c>
      <c r="D161" s="230">
        <v>37</v>
      </c>
      <c r="E161" s="312">
        <f>Input!$J$63*20%</f>
        <v>4893.4475637294508</v>
      </c>
      <c r="F161" s="313">
        <f>Renten!$T$61*6.8%*20%</f>
        <v>3726.6250809084058</v>
      </c>
      <c r="G161" s="313">
        <f>Renten!$T$61*6.8%*20%</f>
        <v>3726.6250809084058</v>
      </c>
    </row>
    <row r="162" spans="1:7" s="230" customFormat="1" x14ac:dyDescent="0.25">
      <c r="A162" s="105">
        <v>2032</v>
      </c>
      <c r="B162" s="230">
        <v>35</v>
      </c>
      <c r="C162" s="230">
        <v>36</v>
      </c>
      <c r="D162" s="230">
        <v>37</v>
      </c>
      <c r="E162" s="312">
        <f>Input!$J$63*20%</f>
        <v>4893.4475637294508</v>
      </c>
      <c r="F162" s="313">
        <f>Renten!$T$61*6.8%*20%</f>
        <v>3726.6250809084058</v>
      </c>
      <c r="G162" s="313">
        <f>Renten!$T$61*6.8%*20%</f>
        <v>3726.6250809084058</v>
      </c>
    </row>
    <row r="163" spans="1:7" s="230" customFormat="1" x14ac:dyDescent="0.25">
      <c r="A163" s="105">
        <v>2033</v>
      </c>
      <c r="B163" s="230">
        <v>35</v>
      </c>
      <c r="C163" s="230">
        <v>36</v>
      </c>
      <c r="D163" s="230">
        <v>37</v>
      </c>
      <c r="E163" s="312">
        <f>Input!$J$63*20%</f>
        <v>4893.4475637294508</v>
      </c>
      <c r="F163" s="313">
        <f>Renten!$T$61*6.8%*20%</f>
        <v>3726.6250809084058</v>
      </c>
      <c r="G163" s="313">
        <f>Renten!$T$61*6.8%*20%</f>
        <v>3726.6250809084058</v>
      </c>
    </row>
    <row r="164" spans="1:7" s="230" customFormat="1" x14ac:dyDescent="0.25">
      <c r="A164" s="105">
        <v>2034</v>
      </c>
      <c r="B164" s="230">
        <v>35</v>
      </c>
      <c r="C164" s="230">
        <v>36</v>
      </c>
      <c r="D164" s="230">
        <v>37</v>
      </c>
      <c r="E164" s="312">
        <f>Input!$J$63*20%</f>
        <v>4893.4475637294508</v>
      </c>
      <c r="F164" s="313">
        <f>Renten!$T$61*6.8%*20%</f>
        <v>3726.6250809084058</v>
      </c>
      <c r="G164" s="313">
        <f>Renten!$T$61*6.8%*20%</f>
        <v>3726.6250809084058</v>
      </c>
    </row>
    <row r="165" spans="1:7" s="230" customFormat="1" x14ac:dyDescent="0.25">
      <c r="A165" s="105">
        <v>2035</v>
      </c>
      <c r="B165" s="230">
        <v>35</v>
      </c>
      <c r="C165" s="230">
        <v>36</v>
      </c>
      <c r="D165" s="230">
        <v>37</v>
      </c>
      <c r="E165" s="312">
        <f>Input!$J$63*20%</f>
        <v>4893.4475637294508</v>
      </c>
      <c r="F165" s="313">
        <f>Renten!$T$61*6.8%*20%</f>
        <v>3726.6250809084058</v>
      </c>
      <c r="G165" s="313">
        <f>Renten!$T$61*6.8%*20%</f>
        <v>3726.6250809084058</v>
      </c>
    </row>
    <row r="166" spans="1:7" s="230" customFormat="1" x14ac:dyDescent="0.25">
      <c r="A166" s="105">
        <v>2036</v>
      </c>
      <c r="B166" s="230">
        <v>35</v>
      </c>
      <c r="C166" s="230">
        <v>36</v>
      </c>
      <c r="D166" s="230">
        <v>37</v>
      </c>
      <c r="E166" s="312">
        <f>Input!$J$63*20%</f>
        <v>4893.4475637294508</v>
      </c>
      <c r="F166" s="313">
        <f>Renten!$T$61*6.8%*20%</f>
        <v>3726.6250809084058</v>
      </c>
      <c r="G166" s="313">
        <f>Renten!$T$61*6.8%*20%</f>
        <v>3726.6250809084058</v>
      </c>
    </row>
    <row r="167" spans="1:7" s="230" customFormat="1" x14ac:dyDescent="0.25">
      <c r="A167" s="105">
        <v>2037</v>
      </c>
      <c r="B167" s="230">
        <v>35</v>
      </c>
      <c r="C167" s="230">
        <v>36</v>
      </c>
      <c r="D167" s="230">
        <v>37</v>
      </c>
      <c r="E167" s="312">
        <f>Input!$J$63*20%</f>
        <v>4893.4475637294508</v>
      </c>
      <c r="F167" s="313">
        <f>Renten!$T$61*6.8%*20%</f>
        <v>3726.6250809084058</v>
      </c>
      <c r="G167" s="313">
        <f>Renten!$T$61*6.8%*20%</f>
        <v>3726.6250809084058</v>
      </c>
    </row>
    <row r="168" spans="1:7" s="230" customFormat="1" x14ac:dyDescent="0.25">
      <c r="A168" s="105">
        <v>2038</v>
      </c>
      <c r="B168" s="230">
        <v>35</v>
      </c>
      <c r="C168" s="230">
        <v>36</v>
      </c>
      <c r="D168" s="230">
        <v>37</v>
      </c>
      <c r="E168" s="312">
        <f>Input!$J$63*20%</f>
        <v>4893.4475637294508</v>
      </c>
      <c r="F168" s="313">
        <f>Renten!$T$61*6.8%*20%</f>
        <v>3726.6250809084058</v>
      </c>
      <c r="G168" s="313">
        <f>Renten!$T$61*6.8%*20%</f>
        <v>3726.6250809084058</v>
      </c>
    </row>
    <row r="169" spans="1:7" s="230" customFormat="1" x14ac:dyDescent="0.25">
      <c r="A169" s="105">
        <v>2039</v>
      </c>
      <c r="B169" s="230">
        <v>35</v>
      </c>
      <c r="C169" s="230">
        <v>36</v>
      </c>
      <c r="D169" s="230">
        <v>37</v>
      </c>
      <c r="E169" s="312">
        <f>Input!$J$63*20%</f>
        <v>4893.4475637294508</v>
      </c>
      <c r="F169" s="313">
        <f>Renten!$T$61*6.8%*20%</f>
        <v>3726.6250809084058</v>
      </c>
      <c r="G169" s="313">
        <f>Renten!$T$61*6.8%*20%</f>
        <v>3726.6250809084058</v>
      </c>
    </row>
    <row r="170" spans="1:7" s="230" customFormat="1" x14ac:dyDescent="0.25">
      <c r="A170" s="105">
        <v>2040</v>
      </c>
      <c r="B170" s="230">
        <v>35</v>
      </c>
      <c r="C170" s="230">
        <v>36</v>
      </c>
      <c r="D170" s="230">
        <v>37</v>
      </c>
      <c r="E170" s="312">
        <f>Input!$J$63*20%</f>
        <v>4893.4475637294508</v>
      </c>
      <c r="F170" s="313">
        <f>Renten!$T$61*6.8%*20%</f>
        <v>3726.6250809084058</v>
      </c>
      <c r="G170" s="313">
        <f>Renten!$T$61*6.8%*20%</f>
        <v>3726.6250809084058</v>
      </c>
    </row>
    <row r="171" spans="1:7" s="230" customFormat="1" x14ac:dyDescent="0.25">
      <c r="A171" s="105">
        <v>2041</v>
      </c>
      <c r="B171" s="230">
        <v>35</v>
      </c>
      <c r="C171" s="230">
        <v>36</v>
      </c>
      <c r="D171" s="230">
        <v>37</v>
      </c>
      <c r="E171" s="312">
        <f>Input!$J$63*20%</f>
        <v>4893.4475637294508</v>
      </c>
      <c r="F171" s="313">
        <f>Renten!$T$61*6.8%*20%</f>
        <v>3726.6250809084058</v>
      </c>
      <c r="G171" s="313">
        <f>Renten!$T$61*6.8%*20%</f>
        <v>3726.6250809084058</v>
      </c>
    </row>
    <row r="172" spans="1:7" s="230" customFormat="1" x14ac:dyDescent="0.25">
      <c r="A172" s="105">
        <v>2042</v>
      </c>
      <c r="B172" s="230">
        <v>35</v>
      </c>
      <c r="C172" s="230">
        <v>36</v>
      </c>
      <c r="D172" s="230">
        <v>37</v>
      </c>
      <c r="E172" s="312">
        <f>Input!$J$63*20%</f>
        <v>4893.4475637294508</v>
      </c>
      <c r="F172" s="313">
        <f>Renten!$T$61*6.8%*20%</f>
        <v>3726.6250809084058</v>
      </c>
      <c r="G172" s="313">
        <f>Renten!$T$61*6.8%*20%</f>
        <v>3726.6250809084058</v>
      </c>
    </row>
    <row r="173" spans="1:7" s="230" customFormat="1" x14ac:dyDescent="0.25">
      <c r="A173" s="105">
        <v>2043</v>
      </c>
      <c r="B173" s="230">
        <v>35</v>
      </c>
      <c r="C173" s="230">
        <v>36</v>
      </c>
      <c r="D173" s="230">
        <v>37</v>
      </c>
      <c r="E173" s="312">
        <f>Input!$J$63*20%</f>
        <v>4893.4475637294508</v>
      </c>
      <c r="F173" s="313">
        <f>Renten!$T$61*6.8%*20%</f>
        <v>3726.6250809084058</v>
      </c>
      <c r="G173" s="313">
        <f>Renten!$T$61*6.8%*20%</f>
        <v>3726.6250809084058</v>
      </c>
    </row>
    <row r="174" spans="1:7" s="230" customFormat="1" x14ac:dyDescent="0.25">
      <c r="A174" s="105">
        <v>2044</v>
      </c>
      <c r="B174" s="230">
        <v>35</v>
      </c>
      <c r="C174" s="230">
        <v>36</v>
      </c>
      <c r="D174" s="230">
        <v>37</v>
      </c>
      <c r="E174" s="312">
        <f>Input!$J$63*20%</f>
        <v>4893.4475637294508</v>
      </c>
      <c r="F174" s="313">
        <f>Renten!$T$61*6.8%*20%</f>
        <v>3726.6250809084058</v>
      </c>
      <c r="G174" s="313">
        <f>Renten!$T$61*6.8%*20%</f>
        <v>3726.6250809084058</v>
      </c>
    </row>
    <row r="175" spans="1:7" s="230" customFormat="1" x14ac:dyDescent="0.25">
      <c r="A175" s="105">
        <v>2045</v>
      </c>
      <c r="B175" s="230">
        <v>35</v>
      </c>
      <c r="C175" s="230">
        <v>36</v>
      </c>
      <c r="D175" s="230">
        <v>37</v>
      </c>
      <c r="E175" s="312">
        <f>Input!$J$63*20%</f>
        <v>4893.4475637294508</v>
      </c>
      <c r="F175" s="313">
        <f>Renten!$T$61*6.8%*20%</f>
        <v>3726.6250809084058</v>
      </c>
      <c r="G175" s="313">
        <f>Renten!$T$61*6.8%*20%</f>
        <v>3726.6250809084058</v>
      </c>
    </row>
    <row r="176" spans="1:7" s="230" customFormat="1" x14ac:dyDescent="0.25">
      <c r="A176" s="105">
        <v>2046</v>
      </c>
      <c r="B176" s="230">
        <v>35</v>
      </c>
      <c r="C176" s="230">
        <v>36</v>
      </c>
      <c r="D176" s="230">
        <v>37</v>
      </c>
      <c r="E176" s="312">
        <f>Input!$J$63*20%</f>
        <v>4893.4475637294508</v>
      </c>
      <c r="F176" s="313">
        <f>Renten!$T$61*6.8%*20%</f>
        <v>3726.6250809084058</v>
      </c>
      <c r="G176" s="313">
        <f>Renten!$T$61*6.8%*20%</f>
        <v>3726.6250809084058</v>
      </c>
    </row>
    <row r="177" spans="1:7" s="230" customFormat="1" x14ac:dyDescent="0.25">
      <c r="A177" s="105">
        <v>2047</v>
      </c>
      <c r="B177" s="230">
        <v>35</v>
      </c>
      <c r="C177" s="230">
        <v>36</v>
      </c>
      <c r="D177" s="230">
        <v>37</v>
      </c>
      <c r="E177" s="312">
        <f>Input!$J$63*20%</f>
        <v>4893.4475637294508</v>
      </c>
      <c r="F177" s="313">
        <f>Renten!$T$61*6.8%*20%</f>
        <v>3726.6250809084058</v>
      </c>
      <c r="G177" s="313">
        <f>Renten!$T$61*6.8%*20%</f>
        <v>3726.6250809084058</v>
      </c>
    </row>
    <row r="178" spans="1:7" s="230" customFormat="1" x14ac:dyDescent="0.25">
      <c r="A178" s="105">
        <v>2048</v>
      </c>
      <c r="B178" s="230">
        <v>35</v>
      </c>
      <c r="C178" s="230">
        <v>36</v>
      </c>
      <c r="D178" s="230">
        <v>37</v>
      </c>
      <c r="E178" s="312">
        <f>Input!$J$63*20%</f>
        <v>4893.4475637294508</v>
      </c>
      <c r="F178" s="313">
        <f>Renten!$T$61*6.8%*20%</f>
        <v>3726.6250809084058</v>
      </c>
      <c r="G178" s="313">
        <f>Renten!$T$61*6.8%*20%</f>
        <v>3726.6250809084058</v>
      </c>
    </row>
    <row r="179" spans="1:7" s="230" customFormat="1" x14ac:dyDescent="0.25">
      <c r="A179" s="105">
        <v>2049</v>
      </c>
      <c r="B179" s="230">
        <v>35</v>
      </c>
      <c r="C179" s="230">
        <v>36</v>
      </c>
      <c r="D179" s="230">
        <v>37</v>
      </c>
      <c r="E179" s="312">
        <f>Input!$J$63*20%</f>
        <v>4893.4475637294508</v>
      </c>
      <c r="F179" s="313">
        <f>Renten!$T$61*6.8%*20%</f>
        <v>3726.6250809084058</v>
      </c>
      <c r="G179" s="313">
        <f>Renten!$T$61*6.8%*20%</f>
        <v>3726.6250809084058</v>
      </c>
    </row>
    <row r="180" spans="1:7" s="230" customFormat="1" x14ac:dyDescent="0.25">
      <c r="A180" s="105">
        <v>2050</v>
      </c>
      <c r="B180" s="230">
        <v>35</v>
      </c>
      <c r="C180" s="230">
        <v>36</v>
      </c>
      <c r="D180" s="230">
        <v>37</v>
      </c>
      <c r="E180" s="312">
        <f>Input!$J$63*20%</f>
        <v>4893.4475637294508</v>
      </c>
      <c r="F180" s="313">
        <f>Renten!$T$61*6.8%*20%</f>
        <v>3726.6250809084058</v>
      </c>
      <c r="G180" s="313">
        <f>Renten!$T$61*6.8%*20%</f>
        <v>3726.6250809084058</v>
      </c>
    </row>
    <row r="181" spans="1:7" s="230" customFormat="1" x14ac:dyDescent="0.25">
      <c r="A181" s="105">
        <v>2051</v>
      </c>
      <c r="B181" s="230">
        <v>35</v>
      </c>
      <c r="C181" s="230">
        <v>36</v>
      </c>
      <c r="D181" s="230">
        <v>37</v>
      </c>
      <c r="E181" s="312">
        <f>Input!$J$63*20%</f>
        <v>4893.4475637294508</v>
      </c>
      <c r="F181" s="313">
        <f>Renten!$T$61*6.8%*20%</f>
        <v>3726.6250809084058</v>
      </c>
      <c r="G181" s="313">
        <f>Renten!$T$61*6.8%*20%</f>
        <v>3726.6250809084058</v>
      </c>
    </row>
    <row r="182" spans="1:7" s="230" customFormat="1" x14ac:dyDescent="0.25">
      <c r="A182" s="105">
        <v>2052</v>
      </c>
      <c r="B182" s="230">
        <v>35</v>
      </c>
      <c r="C182" s="230">
        <v>36</v>
      </c>
      <c r="D182" s="230">
        <v>37</v>
      </c>
      <c r="E182" s="312">
        <f>Input!$J$63*20%</f>
        <v>4893.4475637294508</v>
      </c>
      <c r="F182" s="313">
        <f>Renten!$T$61*6.8%*20%</f>
        <v>3726.6250809084058</v>
      </c>
      <c r="G182" s="313">
        <f>Renten!$T$61*6.8%*20%</f>
        <v>3726.6250809084058</v>
      </c>
    </row>
    <row r="183" spans="1:7" s="230" customFormat="1" x14ac:dyDescent="0.25">
      <c r="A183" s="105">
        <v>2053</v>
      </c>
      <c r="B183" s="230">
        <v>35</v>
      </c>
      <c r="C183" s="230">
        <v>36</v>
      </c>
      <c r="D183" s="230">
        <v>37</v>
      </c>
      <c r="E183" s="312">
        <f>Input!$J$63*20%</f>
        <v>4893.4475637294508</v>
      </c>
      <c r="F183" s="313">
        <f>Renten!$T$61*6.8%*20%</f>
        <v>3726.6250809084058</v>
      </c>
      <c r="G183" s="313">
        <f>Renten!$T$61*6.8%*20%</f>
        <v>3726.6250809084058</v>
      </c>
    </row>
    <row r="184" spans="1:7" s="230" customFormat="1" x14ac:dyDescent="0.25">
      <c r="A184" s="105">
        <v>2054</v>
      </c>
      <c r="B184" s="230">
        <v>35</v>
      </c>
      <c r="C184" s="230">
        <v>36</v>
      </c>
      <c r="D184" s="230">
        <v>37</v>
      </c>
      <c r="E184" s="312">
        <f>Input!$J$63*20%</f>
        <v>4893.4475637294508</v>
      </c>
      <c r="F184" s="313">
        <f>Renten!$T$61*6.8%*20%</f>
        <v>3726.6250809084058</v>
      </c>
      <c r="G184" s="313">
        <f>Renten!$T$61*6.8%*20%</f>
        <v>3726.6250809084058</v>
      </c>
    </row>
    <row r="185" spans="1:7" s="230" customFormat="1" x14ac:dyDescent="0.25">
      <c r="A185" s="105">
        <v>2055</v>
      </c>
      <c r="B185" s="230">
        <v>35</v>
      </c>
      <c r="C185" s="230">
        <v>36</v>
      </c>
      <c r="D185" s="230">
        <v>37</v>
      </c>
      <c r="E185" s="312">
        <f>Input!$J$63*20%</f>
        <v>4893.4475637294508</v>
      </c>
      <c r="F185" s="313">
        <f>Renten!$T$61*6.8%*20%</f>
        <v>3726.6250809084058</v>
      </c>
      <c r="G185" s="313">
        <f>Renten!$T$61*6.8%*20%</f>
        <v>3726.6250809084058</v>
      </c>
    </row>
    <row r="186" spans="1:7" s="230" customFormat="1" x14ac:dyDescent="0.25">
      <c r="A186" s="105">
        <v>2056</v>
      </c>
      <c r="B186" s="230">
        <v>35</v>
      </c>
      <c r="C186" s="230">
        <v>36</v>
      </c>
      <c r="D186" s="230">
        <v>37</v>
      </c>
      <c r="E186" s="312">
        <f>Input!$J$63*20%</f>
        <v>4893.4475637294508</v>
      </c>
      <c r="F186" s="313">
        <f>Renten!$T$61*6.8%*20%</f>
        <v>3726.6250809084058</v>
      </c>
      <c r="G186" s="313">
        <f>Renten!$T$61*6.8%*20%</f>
        <v>3726.6250809084058</v>
      </c>
    </row>
    <row r="187" spans="1:7" s="230" customFormat="1" x14ac:dyDescent="0.25">
      <c r="A187" s="105">
        <v>2057</v>
      </c>
      <c r="B187" s="230">
        <v>35</v>
      </c>
      <c r="C187" s="230">
        <v>36</v>
      </c>
      <c r="D187" s="230">
        <v>37</v>
      </c>
      <c r="E187" s="312">
        <f>Input!$J$63*20%</f>
        <v>4893.4475637294508</v>
      </c>
      <c r="F187" s="313">
        <f>Renten!$T$61*6.8%*20%</f>
        <v>3726.6250809084058</v>
      </c>
      <c r="G187" s="313">
        <f>Renten!$T$61*6.8%*20%</f>
        <v>3726.6250809084058</v>
      </c>
    </row>
    <row r="188" spans="1:7" s="230" customFormat="1" x14ac:dyDescent="0.25">
      <c r="A188" s="105">
        <v>2058</v>
      </c>
      <c r="B188" s="230">
        <v>35</v>
      </c>
      <c r="C188" s="230">
        <v>36</v>
      </c>
      <c r="D188" s="230">
        <v>37</v>
      </c>
      <c r="E188" s="312">
        <f>Input!$J$63*20%</f>
        <v>4893.4475637294508</v>
      </c>
      <c r="F188" s="313">
        <f>Renten!$T$61*6.8%*20%</f>
        <v>3726.6250809084058</v>
      </c>
      <c r="G188" s="313">
        <f>Renten!$T$61*6.8%*20%</f>
        <v>3726.6250809084058</v>
      </c>
    </row>
    <row r="189" spans="1:7" s="230" customFormat="1" x14ac:dyDescent="0.25">
      <c r="A189" s="105">
        <v>2059</v>
      </c>
      <c r="B189" s="230">
        <v>35</v>
      </c>
      <c r="C189" s="230">
        <v>36</v>
      </c>
      <c r="D189" s="230">
        <v>37</v>
      </c>
      <c r="E189" s="312">
        <f>Input!$J$63*20%</f>
        <v>4893.4475637294508</v>
      </c>
      <c r="F189" s="313">
        <f>Renten!$T$61*6.8%*20%</f>
        <v>3726.6250809084058</v>
      </c>
      <c r="G189" s="313">
        <f>Renten!$T$61*6.8%*20%</f>
        <v>3726.6250809084058</v>
      </c>
    </row>
    <row r="190" spans="1:7" s="230" customFormat="1" x14ac:dyDescent="0.25">
      <c r="A190" s="105">
        <v>2060</v>
      </c>
      <c r="B190" s="230">
        <v>35</v>
      </c>
      <c r="C190" s="230">
        <v>36</v>
      </c>
      <c r="D190" s="230">
        <v>37</v>
      </c>
      <c r="E190" s="312">
        <f>Input!$J$63*20%</f>
        <v>4893.4475637294508</v>
      </c>
      <c r="F190" s="313">
        <f>Renten!$T$61*6.8%*20%</f>
        <v>3726.6250809084058</v>
      </c>
      <c r="G190" s="313">
        <f>Renten!$T$61*6.8%*20%</f>
        <v>3726.6250809084058</v>
      </c>
    </row>
    <row r="191" spans="1:7" s="230" customFormat="1" x14ac:dyDescent="0.25">
      <c r="A191" s="105">
        <v>2061</v>
      </c>
      <c r="B191" s="230">
        <v>35</v>
      </c>
      <c r="C191" s="230">
        <v>36</v>
      </c>
      <c r="D191" s="230">
        <v>37</v>
      </c>
      <c r="E191" s="312">
        <f>Input!$J$63*20%</f>
        <v>4893.4475637294508</v>
      </c>
      <c r="F191" s="313">
        <f>Renten!$T$61*6.8%*20%</f>
        <v>3726.6250809084058</v>
      </c>
      <c r="G191" s="313">
        <f>Renten!$T$61*6.8%*20%</f>
        <v>3726.6250809084058</v>
      </c>
    </row>
    <row r="192" spans="1:7" s="230" customFormat="1" x14ac:dyDescent="0.25">
      <c r="A192" s="105">
        <v>2062</v>
      </c>
      <c r="B192" s="230">
        <v>35</v>
      </c>
      <c r="C192" s="230">
        <v>36</v>
      </c>
      <c r="D192" s="230">
        <v>37</v>
      </c>
      <c r="E192" s="312">
        <f>Input!$J$63*20%</f>
        <v>4893.4475637294508</v>
      </c>
      <c r="F192" s="313">
        <f>Renten!$T$61*6.8%*20%</f>
        <v>3726.6250809084058</v>
      </c>
      <c r="G192" s="313">
        <f>Renten!$T$61*6.8%*20%</f>
        <v>3726.6250809084058</v>
      </c>
    </row>
    <row r="193" spans="1:7" s="230" customFormat="1" x14ac:dyDescent="0.25">
      <c r="A193" s="105">
        <v>2063</v>
      </c>
      <c r="B193" s="230">
        <v>35</v>
      </c>
      <c r="C193" s="230">
        <v>36</v>
      </c>
      <c r="D193" s="230">
        <v>37</v>
      </c>
      <c r="E193" s="312">
        <f>Input!$J$63*20%</f>
        <v>4893.4475637294508</v>
      </c>
      <c r="F193" s="313">
        <f>Renten!$T$61*6.8%*20%</f>
        <v>3726.6250809084058</v>
      </c>
      <c r="G193" s="313">
        <f>Renten!$T$61*6.8%*20%</f>
        <v>3726.6250809084058</v>
      </c>
    </row>
    <row r="194" spans="1:7" s="230" customFormat="1" x14ac:dyDescent="0.25">
      <c r="A194" s="105">
        <v>2064</v>
      </c>
      <c r="B194" s="230">
        <v>35</v>
      </c>
      <c r="C194" s="230">
        <v>36</v>
      </c>
      <c r="D194" s="230">
        <v>37</v>
      </c>
      <c r="E194" s="312">
        <f>Input!$J$63*20%</f>
        <v>4893.4475637294508</v>
      </c>
      <c r="F194" s="313">
        <f>Renten!$T$61*6.8%*20%</f>
        <v>3726.6250809084058</v>
      </c>
      <c r="G194" s="313">
        <f>Renten!$T$61*6.8%*20%</f>
        <v>3726.6250809084058</v>
      </c>
    </row>
    <row r="195" spans="1:7" s="230" customFormat="1" x14ac:dyDescent="0.25">
      <c r="A195" s="105">
        <v>2065</v>
      </c>
      <c r="B195" s="230">
        <v>35</v>
      </c>
      <c r="C195" s="230">
        <v>36</v>
      </c>
      <c r="D195" s="230">
        <v>37</v>
      </c>
      <c r="E195" s="312">
        <f>Input!$J$63*20%</f>
        <v>4893.4475637294508</v>
      </c>
      <c r="F195" s="313">
        <f>Renten!$T$61*6.8%*20%</f>
        <v>3726.6250809084058</v>
      </c>
      <c r="G195" s="313">
        <f>Renten!$T$61*6.8%*20%</f>
        <v>3726.6250809084058</v>
      </c>
    </row>
    <row r="196" spans="1:7" s="230" customFormat="1" x14ac:dyDescent="0.25">
      <c r="A196" s="105">
        <v>2066</v>
      </c>
      <c r="B196" s="230">
        <v>35</v>
      </c>
      <c r="C196" s="230">
        <v>36</v>
      </c>
      <c r="D196" s="230">
        <v>37</v>
      </c>
      <c r="E196" s="312">
        <f>Input!$J$63*20%</f>
        <v>4893.4475637294508</v>
      </c>
      <c r="F196" s="313">
        <f>Renten!$T$61*6.8%*20%</f>
        <v>3726.6250809084058</v>
      </c>
      <c r="G196" s="313">
        <f>Renten!$T$61*6.8%*20%</f>
        <v>3726.6250809084058</v>
      </c>
    </row>
    <row r="197" spans="1:7" s="230" customFormat="1" x14ac:dyDescent="0.25">
      <c r="A197" s="105">
        <v>2067</v>
      </c>
      <c r="B197" s="230">
        <v>35</v>
      </c>
      <c r="C197" s="230">
        <v>36</v>
      </c>
      <c r="D197" s="230">
        <v>37</v>
      </c>
      <c r="E197" s="312">
        <f>Input!$J$63*20%</f>
        <v>4893.4475637294508</v>
      </c>
      <c r="F197" s="313">
        <f>Renten!$T$61*6.8%*20%</f>
        <v>3726.6250809084058</v>
      </c>
      <c r="G197" s="313">
        <f>Renten!$T$61*6.8%*20%</f>
        <v>3726.6250809084058</v>
      </c>
    </row>
    <row r="198" spans="1:7" s="230" customFormat="1" x14ac:dyDescent="0.25">
      <c r="A198" s="105">
        <v>2068</v>
      </c>
      <c r="B198" s="230">
        <v>35</v>
      </c>
      <c r="C198" s="230">
        <v>36</v>
      </c>
      <c r="D198" s="230">
        <v>37</v>
      </c>
      <c r="E198" s="312">
        <f>Input!$J$63*20%</f>
        <v>4893.4475637294508</v>
      </c>
      <c r="F198" s="313">
        <f>Renten!$T$61*6.8%*20%</f>
        <v>3726.6250809084058</v>
      </c>
      <c r="G198" s="313">
        <f>Renten!$T$61*6.8%*20%</f>
        <v>3726.6250809084058</v>
      </c>
    </row>
    <row r="199" spans="1:7" s="230" customFormat="1" x14ac:dyDescent="0.25">
      <c r="A199" s="105">
        <v>2069</v>
      </c>
      <c r="B199" s="230">
        <v>35</v>
      </c>
      <c r="C199" s="230">
        <v>36</v>
      </c>
      <c r="D199" s="230">
        <v>37</v>
      </c>
      <c r="E199" s="312">
        <f>Input!$J$63*20%</f>
        <v>4893.4475637294508</v>
      </c>
      <c r="F199" s="313">
        <f>Renten!$T$61*6.8%*20%</f>
        <v>3726.6250809084058</v>
      </c>
      <c r="G199" s="313">
        <f>Renten!$T$61*6.8%*20%</f>
        <v>3726.6250809084058</v>
      </c>
    </row>
    <row r="200" spans="1:7" s="230" customFormat="1" x14ac:dyDescent="0.25">
      <c r="A200" s="105">
        <v>2070</v>
      </c>
      <c r="B200" s="230">
        <v>35</v>
      </c>
      <c r="C200" s="230">
        <v>36</v>
      </c>
      <c r="D200" s="230">
        <v>37</v>
      </c>
      <c r="E200" s="312">
        <f>Input!$J$63*20%</f>
        <v>4893.4475637294508</v>
      </c>
      <c r="F200" s="313">
        <f>Renten!$T$61*6.8%*20%</f>
        <v>3726.6250809084058</v>
      </c>
      <c r="G200" s="313">
        <f>Renten!$T$61*6.8%*20%</f>
        <v>3726.6250809084058</v>
      </c>
    </row>
    <row r="201" spans="1:7" s="230" customFormat="1" x14ac:dyDescent="0.25">
      <c r="A201" s="105">
        <v>2071</v>
      </c>
      <c r="B201" s="230">
        <v>35</v>
      </c>
      <c r="C201" s="230">
        <v>36</v>
      </c>
      <c r="D201" s="230">
        <v>37</v>
      </c>
      <c r="E201" s="312">
        <f>Input!$J$63*20%</f>
        <v>4893.4475637294508</v>
      </c>
      <c r="F201" s="313">
        <f>Renten!$T$61*6.8%*20%</f>
        <v>3726.6250809084058</v>
      </c>
      <c r="G201" s="313">
        <f>Renten!$T$61*6.8%*20%</f>
        <v>3726.6250809084058</v>
      </c>
    </row>
    <row r="202" spans="1:7" s="230" customFormat="1" x14ac:dyDescent="0.25">
      <c r="A202" s="105">
        <v>2072</v>
      </c>
      <c r="B202" s="230">
        <v>35</v>
      </c>
      <c r="C202" s="230">
        <v>36</v>
      </c>
      <c r="D202" s="230">
        <v>37</v>
      </c>
      <c r="E202" s="312">
        <f>Input!$J$63*20%</f>
        <v>4893.4475637294508</v>
      </c>
      <c r="F202" s="313">
        <f>Renten!$T$61*6.8%*20%</f>
        <v>3726.6250809084058</v>
      </c>
      <c r="G202" s="313">
        <f>Renten!$T$61*6.8%*20%</f>
        <v>3726.6250809084058</v>
      </c>
    </row>
    <row r="203" spans="1:7" s="230" customFormat="1" x14ac:dyDescent="0.25">
      <c r="A203" s="105">
        <v>2073</v>
      </c>
      <c r="B203" s="230">
        <v>35</v>
      </c>
      <c r="C203" s="230">
        <v>36</v>
      </c>
      <c r="D203" s="230">
        <v>37</v>
      </c>
      <c r="E203" s="312">
        <f>Input!$J$63*20%</f>
        <v>4893.4475637294508</v>
      </c>
      <c r="F203" s="313">
        <f>Renten!$T$61*6.8%*20%</f>
        <v>3726.6250809084058</v>
      </c>
      <c r="G203" s="313">
        <f>Renten!$T$61*6.8%*20%</f>
        <v>3726.6250809084058</v>
      </c>
    </row>
    <row r="204" spans="1:7" s="230" customFormat="1" x14ac:dyDescent="0.25">
      <c r="A204" s="105">
        <v>2074</v>
      </c>
      <c r="B204" s="230">
        <v>35</v>
      </c>
      <c r="C204" s="230">
        <v>36</v>
      </c>
      <c r="D204" s="230">
        <v>37</v>
      </c>
      <c r="E204" s="312">
        <f>Input!$J$63*20%</f>
        <v>4893.4475637294508</v>
      </c>
      <c r="F204" s="313">
        <f>Renten!$T$61*6.8%*20%</f>
        <v>3726.6250809084058</v>
      </c>
      <c r="G204" s="313">
        <f>Renten!$T$61*6.8%*20%</f>
        <v>3726.6250809084058</v>
      </c>
    </row>
    <row r="205" spans="1:7" s="230" customFormat="1" x14ac:dyDescent="0.25">
      <c r="A205" s="105">
        <v>2075</v>
      </c>
      <c r="B205" s="230">
        <v>35</v>
      </c>
      <c r="C205" s="230">
        <v>36</v>
      </c>
      <c r="D205" s="230">
        <v>37</v>
      </c>
      <c r="E205" s="312">
        <f>Input!$J$63*20%</f>
        <v>4893.4475637294508</v>
      </c>
      <c r="F205" s="313">
        <f>Renten!$T$61*6.8%*20%</f>
        <v>3726.6250809084058</v>
      </c>
      <c r="G205" s="313">
        <f>Renten!$T$61*6.8%*20%</f>
        <v>3726.6250809084058</v>
      </c>
    </row>
    <row r="206" spans="1:7" s="230" customFormat="1" x14ac:dyDescent="0.25">
      <c r="A206" s="105">
        <v>2076</v>
      </c>
      <c r="B206" s="230">
        <v>35</v>
      </c>
      <c r="C206" s="230">
        <v>36</v>
      </c>
      <c r="D206" s="230">
        <v>37</v>
      </c>
      <c r="E206" s="312">
        <f>Input!$J$63*20%</f>
        <v>4893.4475637294508</v>
      </c>
      <c r="F206" s="313">
        <f>Renten!$T$61*6.8%*20%</f>
        <v>3726.6250809084058</v>
      </c>
      <c r="G206" s="313">
        <f>Renten!$T$61*6.8%*20%</f>
        <v>3726.6250809084058</v>
      </c>
    </row>
    <row r="207" spans="1:7" s="230" customFormat="1" x14ac:dyDescent="0.25">
      <c r="A207" s="105">
        <v>2077</v>
      </c>
      <c r="B207" s="230">
        <v>35</v>
      </c>
      <c r="C207" s="230">
        <v>36</v>
      </c>
      <c r="D207" s="230">
        <v>37</v>
      </c>
      <c r="E207" s="312">
        <f>Input!$J$63*20%</f>
        <v>4893.4475637294508</v>
      </c>
      <c r="F207" s="313">
        <f>Renten!$T$61*6.8%*20%</f>
        <v>3726.6250809084058</v>
      </c>
      <c r="G207" s="313">
        <f>Renten!$T$61*6.8%*20%</f>
        <v>3726.6250809084058</v>
      </c>
    </row>
    <row r="208" spans="1:7" s="230" customFormat="1" x14ac:dyDescent="0.25">
      <c r="A208" s="105">
        <v>2078</v>
      </c>
      <c r="B208" s="230">
        <v>35</v>
      </c>
      <c r="C208" s="230">
        <v>36</v>
      </c>
      <c r="D208" s="230">
        <v>37</v>
      </c>
      <c r="E208" s="312">
        <f>Input!$J$63*20%</f>
        <v>4893.4475637294508</v>
      </c>
      <c r="F208" s="313">
        <f>Renten!$T$61*6.8%*20%</f>
        <v>3726.6250809084058</v>
      </c>
      <c r="G208" s="313">
        <f>Renten!$T$61*6.8%*20%</f>
        <v>3726.6250809084058</v>
      </c>
    </row>
    <row r="209" spans="1:7" s="230" customFormat="1" x14ac:dyDescent="0.25">
      <c r="A209" s="105">
        <v>2079</v>
      </c>
      <c r="B209" s="230">
        <v>35</v>
      </c>
      <c r="C209" s="230">
        <v>36</v>
      </c>
      <c r="D209" s="230">
        <v>37</v>
      </c>
      <c r="E209" s="312">
        <f>Input!$J$63*20%</f>
        <v>4893.4475637294508</v>
      </c>
      <c r="F209" s="313">
        <f>Renten!$T$61*6.8%*20%</f>
        <v>3726.6250809084058</v>
      </c>
      <c r="G209" s="313">
        <f>Renten!$T$61*6.8%*20%</f>
        <v>3726.6250809084058</v>
      </c>
    </row>
    <row r="210" spans="1:7" s="230" customFormat="1" x14ac:dyDescent="0.25">
      <c r="A210" s="105">
        <v>2080</v>
      </c>
      <c r="B210" s="230">
        <v>35</v>
      </c>
      <c r="C210" s="230">
        <v>36</v>
      </c>
      <c r="D210" s="230">
        <v>37</v>
      </c>
      <c r="E210" s="312">
        <f>Input!$J$63*20%</f>
        <v>4893.4475637294508</v>
      </c>
      <c r="F210" s="313">
        <f>Renten!$T$61*6.8%*20%</f>
        <v>3726.6250809084058</v>
      </c>
      <c r="G210" s="313">
        <f>Renten!$T$61*6.8%*20%</f>
        <v>3726.6250809084058</v>
      </c>
    </row>
    <row r="211" spans="1:7" s="230" customFormat="1" x14ac:dyDescent="0.25">
      <c r="A211" s="105">
        <v>2081</v>
      </c>
      <c r="B211" s="230">
        <v>35</v>
      </c>
      <c r="C211" s="230">
        <v>36</v>
      </c>
      <c r="D211" s="230">
        <v>37</v>
      </c>
      <c r="E211" s="312">
        <f>Input!$J$63*20%</f>
        <v>4893.4475637294508</v>
      </c>
      <c r="F211" s="313">
        <f>Renten!$T$61*6.8%*20%</f>
        <v>3726.6250809084058</v>
      </c>
      <c r="G211" s="313">
        <f>Renten!$T$61*6.8%*20%</f>
        <v>3726.6250809084058</v>
      </c>
    </row>
    <row r="212" spans="1:7" s="230" customFormat="1" x14ac:dyDescent="0.25">
      <c r="A212" s="105">
        <v>2082</v>
      </c>
      <c r="B212" s="230">
        <v>35</v>
      </c>
      <c r="C212" s="230">
        <v>36</v>
      </c>
      <c r="D212" s="230">
        <v>37</v>
      </c>
      <c r="E212" s="312">
        <f>Input!$J$63*20%</f>
        <v>4893.4475637294508</v>
      </c>
      <c r="F212" s="313">
        <f>Renten!$T$61*6.8%*20%</f>
        <v>3726.6250809084058</v>
      </c>
      <c r="G212" s="313">
        <f>Renten!$T$61*6.8%*20%</f>
        <v>3726.6250809084058</v>
      </c>
    </row>
    <row r="213" spans="1:7" s="230" customFormat="1" x14ac:dyDescent="0.25">
      <c r="A213" s="105">
        <v>2083</v>
      </c>
      <c r="B213" s="230">
        <v>35</v>
      </c>
      <c r="C213" s="230">
        <v>36</v>
      </c>
      <c r="D213" s="230">
        <v>37</v>
      </c>
      <c r="E213" s="312">
        <f>Input!$J$63*20%</f>
        <v>4893.4475637294508</v>
      </c>
      <c r="F213" s="313">
        <f>Renten!$T$61*6.8%*20%</f>
        <v>3726.6250809084058</v>
      </c>
      <c r="G213" s="313">
        <f>Renten!$T$61*6.8%*20%</f>
        <v>3726.6250809084058</v>
      </c>
    </row>
    <row r="214" spans="1:7" s="230" customFormat="1" x14ac:dyDescent="0.25">
      <c r="A214" s="105">
        <v>2084</v>
      </c>
      <c r="B214" s="230">
        <v>35</v>
      </c>
      <c r="C214" s="230">
        <v>36</v>
      </c>
      <c r="D214" s="230">
        <v>37</v>
      </c>
      <c r="E214" s="312">
        <f>Input!$J$63*20%</f>
        <v>4893.4475637294508</v>
      </c>
      <c r="F214" s="313">
        <f>Renten!$T$61*6.8%*20%</f>
        <v>3726.6250809084058</v>
      </c>
      <c r="G214" s="313">
        <f>Renten!$T$61*6.8%*20%</f>
        <v>3726.6250809084058</v>
      </c>
    </row>
    <row r="215" spans="1:7" s="230" customFormat="1" x14ac:dyDescent="0.25">
      <c r="A215" s="105">
        <v>2085</v>
      </c>
      <c r="B215" s="230">
        <v>35</v>
      </c>
      <c r="C215" s="230">
        <v>36</v>
      </c>
      <c r="D215" s="230">
        <v>37</v>
      </c>
      <c r="E215" s="312">
        <f>Input!$J$63*20%</f>
        <v>4893.4475637294508</v>
      </c>
      <c r="F215" s="313">
        <f>Renten!$T$61*6.8%*20%</f>
        <v>3726.6250809084058</v>
      </c>
      <c r="G215" s="313">
        <f>Renten!$T$61*6.8%*20%</f>
        <v>3726.6250809084058</v>
      </c>
    </row>
    <row r="216" spans="1:7" s="230" customFormat="1" x14ac:dyDescent="0.25">
      <c r="A216" s="105">
        <v>2086</v>
      </c>
      <c r="B216" s="230">
        <v>35</v>
      </c>
      <c r="C216" s="230">
        <v>36</v>
      </c>
      <c r="D216" s="230">
        <v>37</v>
      </c>
      <c r="E216" s="312">
        <f>Input!$J$63*20%</f>
        <v>4893.4475637294508</v>
      </c>
      <c r="F216" s="313">
        <f>Renten!$T$61*6.8%*20%</f>
        <v>3726.6250809084058</v>
      </c>
      <c r="G216" s="313">
        <f>Renten!$T$61*6.8%*20%</f>
        <v>3726.6250809084058</v>
      </c>
    </row>
    <row r="217" spans="1:7" s="230" customFormat="1" x14ac:dyDescent="0.25">
      <c r="A217" s="105">
        <v>2087</v>
      </c>
      <c r="B217" s="230">
        <v>35</v>
      </c>
      <c r="C217" s="230">
        <v>36</v>
      </c>
      <c r="D217" s="230">
        <v>37</v>
      </c>
      <c r="E217" s="312">
        <f>Input!$J$63*20%</f>
        <v>4893.4475637294508</v>
      </c>
      <c r="F217" s="313">
        <f>Renten!$T$61*6.8%*20%</f>
        <v>3726.6250809084058</v>
      </c>
      <c r="G217" s="313">
        <f>Renten!$T$61*6.8%*20%</f>
        <v>3726.6250809084058</v>
      </c>
    </row>
    <row r="218" spans="1:7" s="230" customFormat="1" x14ac:dyDescent="0.25">
      <c r="A218" s="105">
        <v>2088</v>
      </c>
      <c r="B218" s="230">
        <v>35</v>
      </c>
      <c r="C218" s="230">
        <v>36</v>
      </c>
      <c r="D218" s="230">
        <v>37</v>
      </c>
      <c r="E218" s="312">
        <f>Input!$J$63*20%</f>
        <v>4893.4475637294508</v>
      </c>
      <c r="F218" s="313">
        <f>Renten!$T$61*6.8%*20%</f>
        <v>3726.6250809084058</v>
      </c>
      <c r="G218" s="313">
        <f>Renten!$T$61*6.8%*20%</f>
        <v>3726.6250809084058</v>
      </c>
    </row>
    <row r="219" spans="1:7" s="230" customFormat="1" x14ac:dyDescent="0.25">
      <c r="A219" s="105">
        <v>2089</v>
      </c>
      <c r="B219" s="230">
        <v>35</v>
      </c>
      <c r="C219" s="230">
        <v>36</v>
      </c>
      <c r="D219" s="230">
        <v>37</v>
      </c>
      <c r="E219" s="312">
        <f>Input!$J$63*20%</f>
        <v>4893.4475637294508</v>
      </c>
      <c r="F219" s="313">
        <f>Renten!$T$61*6.8%*20%</f>
        <v>3726.6250809084058</v>
      </c>
      <c r="G219" s="313">
        <f>Renten!$T$61*6.8%*20%</f>
        <v>3726.6250809084058</v>
      </c>
    </row>
    <row r="220" spans="1:7" s="230" customFormat="1" x14ac:dyDescent="0.25">
      <c r="A220" s="105">
        <v>2090</v>
      </c>
      <c r="B220" s="230">
        <v>35</v>
      </c>
      <c r="C220" s="230">
        <v>36</v>
      </c>
      <c r="D220" s="230">
        <v>37</v>
      </c>
      <c r="E220" s="312">
        <f>Input!$J$63*20%</f>
        <v>4893.4475637294508</v>
      </c>
      <c r="F220" s="313">
        <f>Renten!$T$61*6.8%*20%</f>
        <v>3726.6250809084058</v>
      </c>
      <c r="G220" s="313">
        <f>Renten!$T$61*6.8%*20%</f>
        <v>3726.6250809084058</v>
      </c>
    </row>
    <row r="221" spans="1:7" s="230" customFormat="1" x14ac:dyDescent="0.25">
      <c r="A221" s="105">
        <v>2091</v>
      </c>
      <c r="B221" s="230">
        <v>35</v>
      </c>
      <c r="C221" s="230">
        <v>36</v>
      </c>
      <c r="D221" s="230">
        <v>37</v>
      </c>
      <c r="E221" s="312">
        <f>Input!$J$63*20%</f>
        <v>4893.4475637294508</v>
      </c>
      <c r="F221" s="313">
        <f>Renten!$T$61*6.8%*20%</f>
        <v>3726.6250809084058</v>
      </c>
      <c r="G221" s="313">
        <f>Renten!$T$61*6.8%*20%</f>
        <v>3726.6250809084058</v>
      </c>
    </row>
    <row r="222" spans="1:7" s="230" customFormat="1" x14ac:dyDescent="0.25">
      <c r="A222" s="105">
        <v>2092</v>
      </c>
      <c r="B222" s="230">
        <v>35</v>
      </c>
      <c r="C222" s="230">
        <v>36</v>
      </c>
      <c r="D222" s="230">
        <v>37</v>
      </c>
      <c r="E222" s="312">
        <f>Input!$J$63*20%</f>
        <v>4893.4475637294508</v>
      </c>
      <c r="F222" s="313">
        <f>Renten!$T$61*6.8%*20%</f>
        <v>3726.6250809084058</v>
      </c>
      <c r="G222" s="313">
        <f>Renten!$T$61*6.8%*20%</f>
        <v>3726.6250809084058</v>
      </c>
    </row>
    <row r="223" spans="1:7" s="230" customFormat="1" x14ac:dyDescent="0.25">
      <c r="A223" s="105">
        <v>2093</v>
      </c>
      <c r="B223" s="230">
        <v>35</v>
      </c>
      <c r="C223" s="230">
        <v>36</v>
      </c>
      <c r="D223" s="230">
        <v>37</v>
      </c>
      <c r="E223" s="312">
        <f>Input!$J$63*20%</f>
        <v>4893.4475637294508</v>
      </c>
      <c r="F223" s="313">
        <f>Renten!$T$61*6.8%*20%</f>
        <v>3726.6250809084058</v>
      </c>
      <c r="G223" s="313">
        <f>Renten!$T$61*6.8%*20%</f>
        <v>3726.6250809084058</v>
      </c>
    </row>
    <row r="224" spans="1:7" s="230" customFormat="1" x14ac:dyDescent="0.25">
      <c r="A224" s="105">
        <v>2094</v>
      </c>
      <c r="B224" s="230">
        <v>35</v>
      </c>
      <c r="C224" s="230">
        <v>36</v>
      </c>
      <c r="D224" s="230">
        <v>37</v>
      </c>
      <c r="E224" s="312">
        <f>Input!$J$63*20%</f>
        <v>4893.4475637294508</v>
      </c>
      <c r="F224" s="313">
        <f>Renten!$T$61*6.8%*20%</f>
        <v>3726.6250809084058</v>
      </c>
      <c r="G224" s="313">
        <f>Renten!$T$61*6.8%*20%</f>
        <v>3726.6250809084058</v>
      </c>
    </row>
    <row r="225" spans="1:7" s="230" customFormat="1" x14ac:dyDescent="0.25">
      <c r="A225" s="105">
        <v>2095</v>
      </c>
      <c r="B225" s="230">
        <v>35</v>
      </c>
      <c r="C225" s="230">
        <v>36</v>
      </c>
      <c r="D225" s="230">
        <v>37</v>
      </c>
      <c r="E225" s="312">
        <f>Input!$J$63*20%</f>
        <v>4893.4475637294508</v>
      </c>
      <c r="F225" s="313">
        <f>Renten!$T$61*6.8%*20%</f>
        <v>3726.6250809084058</v>
      </c>
      <c r="G225" s="313">
        <f>Renten!$T$61*6.8%*20%</f>
        <v>3726.6250809084058</v>
      </c>
    </row>
    <row r="226" spans="1:7" s="230" customFormat="1" x14ac:dyDescent="0.25">
      <c r="A226" s="105">
        <v>2096</v>
      </c>
      <c r="B226" s="230">
        <v>35</v>
      </c>
      <c r="C226" s="230">
        <v>36</v>
      </c>
      <c r="D226" s="230">
        <v>37</v>
      </c>
      <c r="E226" s="312">
        <f>Input!$J$63*20%</f>
        <v>4893.4475637294508</v>
      </c>
      <c r="F226" s="313">
        <f>Renten!$T$61*6.8%*20%</f>
        <v>3726.6250809084058</v>
      </c>
      <c r="G226" s="313">
        <f>Renten!$T$61*6.8%*20%</f>
        <v>3726.6250809084058</v>
      </c>
    </row>
    <row r="227" spans="1:7" s="230" customFormat="1" x14ac:dyDescent="0.25">
      <c r="A227" s="105">
        <v>2097</v>
      </c>
      <c r="B227" s="230">
        <v>35</v>
      </c>
      <c r="C227" s="230">
        <v>36</v>
      </c>
      <c r="D227" s="230">
        <v>37</v>
      </c>
      <c r="E227" s="312">
        <f>Input!$J$63*20%</f>
        <v>4893.4475637294508</v>
      </c>
      <c r="F227" s="313">
        <f>Renten!$T$61*6.8%*20%</f>
        <v>3726.6250809084058</v>
      </c>
      <c r="G227" s="313">
        <f>Renten!$T$61*6.8%*20%</f>
        <v>3726.6250809084058</v>
      </c>
    </row>
    <row r="228" spans="1:7" s="230" customFormat="1" x14ac:dyDescent="0.25">
      <c r="A228" s="105">
        <v>2098</v>
      </c>
      <c r="B228" s="230">
        <v>35</v>
      </c>
      <c r="C228" s="230">
        <v>36</v>
      </c>
      <c r="D228" s="230">
        <v>37</v>
      </c>
      <c r="E228" s="312">
        <f>Input!$J$63*20%</f>
        <v>4893.4475637294508</v>
      </c>
      <c r="F228" s="313">
        <f>Renten!$T$61*6.8%*20%</f>
        <v>3726.6250809084058</v>
      </c>
      <c r="G228" s="313">
        <f>Renten!$T$61*6.8%*20%</f>
        <v>3726.6250809084058</v>
      </c>
    </row>
    <row r="229" spans="1:7" s="230" customFormat="1" x14ac:dyDescent="0.25">
      <c r="A229" s="105">
        <v>2099</v>
      </c>
      <c r="B229" s="230">
        <v>35</v>
      </c>
      <c r="C229" s="230">
        <v>36</v>
      </c>
      <c r="D229" s="230">
        <v>37</v>
      </c>
      <c r="E229" s="312">
        <f>Input!$J$63*20%</f>
        <v>4893.4475637294508</v>
      </c>
      <c r="F229" s="313">
        <f>Renten!$T$61*6.8%*20%</f>
        <v>3726.6250809084058</v>
      </c>
      <c r="G229" s="313">
        <f>Renten!$T$61*6.8%*20%</f>
        <v>3726.6250809084058</v>
      </c>
    </row>
    <row r="230" spans="1:7" s="230" customFormat="1" x14ac:dyDescent="0.25">
      <c r="A230" s="105">
        <v>2100</v>
      </c>
      <c r="B230" s="230">
        <v>35</v>
      </c>
      <c r="C230" s="230">
        <v>36</v>
      </c>
      <c r="D230" s="230">
        <v>37</v>
      </c>
      <c r="E230" s="312">
        <f>Input!$J$63*20%</f>
        <v>4893.4475637294508</v>
      </c>
      <c r="F230" s="313">
        <f>Renten!$T$61*6.8%*20%</f>
        <v>3726.6250809084058</v>
      </c>
      <c r="G230" s="313">
        <f>Renten!$T$61*6.8%*20%</f>
        <v>3726.6250809084058</v>
      </c>
    </row>
    <row r="231" spans="1:7" s="229" customFormat="1" x14ac:dyDescent="0.25"/>
    <row r="232" spans="1:7" s="229" customFormat="1" x14ac:dyDescent="0.25"/>
    <row r="233" spans="1:7" s="229" customFormat="1" x14ac:dyDescent="0.25"/>
    <row r="234" spans="1:7" s="229" customFormat="1" x14ac:dyDescent="0.25"/>
    <row r="235" spans="1:7" s="229" customFormat="1" x14ac:dyDescent="0.25"/>
    <row r="236" spans="1:7" s="229" customFormat="1" x14ac:dyDescent="0.25"/>
    <row r="237" spans="1:7" s="229" customFormat="1" x14ac:dyDescent="0.25"/>
    <row r="238" spans="1:7" s="229" customFormat="1" x14ac:dyDescent="0.25"/>
    <row r="239" spans="1:7" s="229" customFormat="1" x14ac:dyDescent="0.25"/>
    <row r="240" spans="1:7" s="229" customFormat="1" x14ac:dyDescent="0.25"/>
  </sheetData>
  <sheetProtection algorithmName="SHA-512" hashValue="h9ygJ5KinPSXk92+y8pKplblTyNbM37c4AX/lH3u3PPkaNRHCQgN/x9p+/9uuSzQhHpbnPjeWbswI5XbcKNAlA==" saltValue="jwyst7cgtlng8HaFKO4xew==" spinCount="100000" sheet="1" objects="1" scenarios="1"/>
  <phoneticPr fontId="2" type="noConversion"/>
  <pageMargins left="0.39370078740157483" right="0.39370078740157483" top="0.39370078740157483" bottom="0.39370078740157483" header="0.51181102362204722" footer="0.51181102362204722"/>
  <pageSetup paperSize="9" orientation="landscape" r:id="rId1"/>
  <headerFooter alignWithMargins="0"/>
  <rowBreaks count="3" manualBreakCount="3">
    <brk id="32" max="16383" man="1"/>
    <brk id="48" max="16383" man="1"/>
    <brk id="92" max="16383" man="1"/>
  </rowBreaks>
  <customProperties>
    <customPr name="SSCSheetTrackingNo"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E149"/>
  <sheetViews>
    <sheetView zoomScale="150" workbookViewId="0">
      <selection activeCell="A156" sqref="A156"/>
    </sheetView>
  </sheetViews>
  <sheetFormatPr baseColWidth="10" defaultRowHeight="13.2" x14ac:dyDescent="0.25"/>
  <cols>
    <col min="1" max="1" width="13" style="923" customWidth="1"/>
    <col min="2" max="2" width="14.44140625" customWidth="1"/>
    <col min="3" max="3" width="16.5546875" customWidth="1"/>
    <col min="4" max="4" width="13.44140625" customWidth="1"/>
    <col min="5" max="5" width="57.109375" customWidth="1"/>
  </cols>
  <sheetData>
    <row r="1" spans="1:5" ht="17.399999999999999" x14ac:dyDescent="0.3">
      <c r="A1" s="685" t="s">
        <v>533</v>
      </c>
    </row>
    <row r="3" spans="1:5" x14ac:dyDescent="0.25">
      <c r="A3" s="686">
        <v>40901</v>
      </c>
      <c r="B3" t="s">
        <v>724</v>
      </c>
      <c r="C3" t="s">
        <v>535</v>
      </c>
      <c r="D3" t="s">
        <v>540</v>
      </c>
      <c r="E3" t="s">
        <v>542</v>
      </c>
    </row>
    <row r="4" spans="1:5" x14ac:dyDescent="0.25">
      <c r="B4" t="s">
        <v>534</v>
      </c>
      <c r="C4" t="s">
        <v>536</v>
      </c>
      <c r="D4" t="s">
        <v>539</v>
      </c>
      <c r="E4" t="s">
        <v>542</v>
      </c>
    </row>
    <row r="5" spans="1:5" x14ac:dyDescent="0.25">
      <c r="B5" t="s">
        <v>541</v>
      </c>
      <c r="C5" t="s">
        <v>537</v>
      </c>
      <c r="E5" t="s">
        <v>543</v>
      </c>
    </row>
    <row r="6" spans="1:5" x14ac:dyDescent="0.25">
      <c r="B6" t="s">
        <v>541</v>
      </c>
      <c r="C6" t="s">
        <v>538</v>
      </c>
      <c r="D6" t="s">
        <v>539</v>
      </c>
      <c r="E6" t="s">
        <v>543</v>
      </c>
    </row>
    <row r="7" spans="1:5" x14ac:dyDescent="0.25">
      <c r="A7" s="686">
        <v>41184</v>
      </c>
      <c r="B7" t="s">
        <v>724</v>
      </c>
      <c r="C7" t="s">
        <v>1609</v>
      </c>
      <c r="D7" t="s">
        <v>540</v>
      </c>
      <c r="E7" t="s">
        <v>1059</v>
      </c>
    </row>
    <row r="8" spans="1:5" x14ac:dyDescent="0.25">
      <c r="B8" t="s">
        <v>724</v>
      </c>
      <c r="C8" t="s">
        <v>1687</v>
      </c>
      <c r="D8" t="s">
        <v>539</v>
      </c>
      <c r="E8" s="704" t="s">
        <v>269</v>
      </c>
    </row>
    <row r="9" spans="1:5" x14ac:dyDescent="0.25">
      <c r="B9" t="s">
        <v>724</v>
      </c>
      <c r="C9" t="s">
        <v>1610</v>
      </c>
      <c r="D9" t="s">
        <v>540</v>
      </c>
      <c r="E9" t="s">
        <v>1621</v>
      </c>
    </row>
    <row r="10" spans="1:5" x14ac:dyDescent="0.25">
      <c r="B10" t="s">
        <v>724</v>
      </c>
      <c r="C10" t="s">
        <v>1604</v>
      </c>
      <c r="D10" t="s">
        <v>540</v>
      </c>
      <c r="E10" t="s">
        <v>1605</v>
      </c>
    </row>
    <row r="11" spans="1:5" x14ac:dyDescent="0.25">
      <c r="B11" t="s">
        <v>724</v>
      </c>
      <c r="C11" t="s">
        <v>1613</v>
      </c>
      <c r="D11" t="s">
        <v>540</v>
      </c>
      <c r="E11" s="704" t="s">
        <v>1620</v>
      </c>
    </row>
    <row r="12" spans="1:5" x14ac:dyDescent="0.25">
      <c r="B12" t="s">
        <v>183</v>
      </c>
      <c r="C12" t="s">
        <v>1618</v>
      </c>
      <c r="D12" t="s">
        <v>540</v>
      </c>
      <c r="E12" s="704" t="s">
        <v>1619</v>
      </c>
    </row>
    <row r="13" spans="1:5" x14ac:dyDescent="0.25">
      <c r="B13" t="s">
        <v>183</v>
      </c>
      <c r="C13" t="s">
        <v>1608</v>
      </c>
      <c r="D13" t="s">
        <v>540</v>
      </c>
      <c r="E13" s="704" t="s">
        <v>1688</v>
      </c>
    </row>
    <row r="14" spans="1:5" x14ac:dyDescent="0.25">
      <c r="B14" t="s">
        <v>183</v>
      </c>
      <c r="C14" t="s">
        <v>268</v>
      </c>
      <c r="D14" t="s">
        <v>539</v>
      </c>
      <c r="E14" s="704" t="s">
        <v>270</v>
      </c>
    </row>
    <row r="15" spans="1:5" x14ac:dyDescent="0.25">
      <c r="B15" t="s">
        <v>183</v>
      </c>
      <c r="C15" t="s">
        <v>1690</v>
      </c>
      <c r="D15" t="s">
        <v>540</v>
      </c>
      <c r="E15" s="704" t="s">
        <v>184</v>
      </c>
    </row>
    <row r="16" spans="1:5" x14ac:dyDescent="0.25">
      <c r="B16" t="s">
        <v>183</v>
      </c>
      <c r="C16" t="s">
        <v>1611</v>
      </c>
      <c r="D16" t="s">
        <v>540</v>
      </c>
      <c r="E16" s="704" t="s">
        <v>1623</v>
      </c>
    </row>
    <row r="17" spans="1:5" x14ac:dyDescent="0.25">
      <c r="B17" t="s">
        <v>183</v>
      </c>
      <c r="C17" t="s">
        <v>1617</v>
      </c>
      <c r="D17" t="s">
        <v>539</v>
      </c>
      <c r="E17" s="704" t="s">
        <v>1619</v>
      </c>
    </row>
    <row r="18" spans="1:5" x14ac:dyDescent="0.25">
      <c r="B18" t="s">
        <v>183</v>
      </c>
      <c r="C18" t="s">
        <v>1607</v>
      </c>
      <c r="D18" t="s">
        <v>539</v>
      </c>
      <c r="E18" s="704" t="s">
        <v>1624</v>
      </c>
    </row>
    <row r="19" spans="1:5" x14ac:dyDescent="0.25">
      <c r="B19" t="s">
        <v>183</v>
      </c>
      <c r="C19" t="s">
        <v>277</v>
      </c>
      <c r="D19" t="s">
        <v>540</v>
      </c>
      <c r="E19" s="704" t="s">
        <v>1689</v>
      </c>
    </row>
    <row r="20" spans="1:5" x14ac:dyDescent="0.25">
      <c r="B20" t="s">
        <v>183</v>
      </c>
      <c r="C20" t="s">
        <v>276</v>
      </c>
      <c r="D20" t="s">
        <v>540</v>
      </c>
      <c r="E20" s="704" t="s">
        <v>1691</v>
      </c>
    </row>
    <row r="21" spans="1:5" x14ac:dyDescent="0.25">
      <c r="B21" t="s">
        <v>1612</v>
      </c>
      <c r="C21" t="s">
        <v>1614</v>
      </c>
      <c r="D21" t="s">
        <v>540</v>
      </c>
      <c r="E21" s="704" t="s">
        <v>1622</v>
      </c>
    </row>
    <row r="22" spans="1:5" x14ac:dyDescent="0.25">
      <c r="B22" t="s">
        <v>1612</v>
      </c>
      <c r="C22" t="s">
        <v>275</v>
      </c>
      <c r="D22" t="s">
        <v>540</v>
      </c>
      <c r="E22" s="704" t="s">
        <v>1691</v>
      </c>
    </row>
    <row r="23" spans="1:5" x14ac:dyDescent="0.25">
      <c r="B23" t="s">
        <v>534</v>
      </c>
      <c r="C23" t="s">
        <v>1606</v>
      </c>
      <c r="D23" t="s">
        <v>540</v>
      </c>
      <c r="E23" t="s">
        <v>1603</v>
      </c>
    </row>
    <row r="24" spans="1:5" x14ac:dyDescent="0.25">
      <c r="B24" t="s">
        <v>1600</v>
      </c>
      <c r="C24" t="s">
        <v>1601</v>
      </c>
      <c r="D24" t="s">
        <v>539</v>
      </c>
      <c r="E24" t="s">
        <v>1602</v>
      </c>
    </row>
    <row r="25" spans="1:5" x14ac:dyDescent="0.25">
      <c r="A25" s="686">
        <v>41288</v>
      </c>
      <c r="B25" t="s">
        <v>724</v>
      </c>
      <c r="C25" t="s">
        <v>274</v>
      </c>
      <c r="D25" t="s">
        <v>539</v>
      </c>
      <c r="E25" t="s">
        <v>273</v>
      </c>
    </row>
    <row r="26" spans="1:5" x14ac:dyDescent="0.25">
      <c r="B26" t="s">
        <v>183</v>
      </c>
      <c r="C26" t="s">
        <v>274</v>
      </c>
      <c r="D26" t="s">
        <v>539</v>
      </c>
      <c r="E26" t="s">
        <v>273</v>
      </c>
    </row>
    <row r="27" spans="1:5" x14ac:dyDescent="0.25">
      <c r="A27" s="686">
        <v>41372</v>
      </c>
      <c r="B27" t="s">
        <v>1612</v>
      </c>
      <c r="C27" t="s">
        <v>1227</v>
      </c>
      <c r="D27" t="s">
        <v>540</v>
      </c>
      <c r="E27" t="s">
        <v>1228</v>
      </c>
    </row>
    <row r="28" spans="1:5" x14ac:dyDescent="0.25">
      <c r="B28" t="s">
        <v>1612</v>
      </c>
      <c r="C28" t="s">
        <v>1229</v>
      </c>
      <c r="D28" t="s">
        <v>540</v>
      </c>
      <c r="E28" t="s">
        <v>1228</v>
      </c>
    </row>
    <row r="29" spans="1:5" x14ac:dyDescent="0.25">
      <c r="B29" t="s">
        <v>534</v>
      </c>
      <c r="C29" t="s">
        <v>1383</v>
      </c>
      <c r="D29" t="s">
        <v>540</v>
      </c>
      <c r="E29" t="s">
        <v>1230</v>
      </c>
    </row>
    <row r="30" spans="1:5" x14ac:dyDescent="0.25">
      <c r="A30" s="724">
        <v>41548</v>
      </c>
      <c r="B30" s="214" t="s">
        <v>274</v>
      </c>
      <c r="E30" t="s">
        <v>1267</v>
      </c>
    </row>
    <row r="31" spans="1:5" x14ac:dyDescent="0.25">
      <c r="B31" t="s">
        <v>724</v>
      </c>
      <c r="C31" t="s">
        <v>1613</v>
      </c>
      <c r="D31" t="s">
        <v>540</v>
      </c>
      <c r="E31" t="s">
        <v>1620</v>
      </c>
    </row>
    <row r="32" spans="1:5" x14ac:dyDescent="0.25">
      <c r="B32" t="s">
        <v>724</v>
      </c>
      <c r="C32" t="s">
        <v>249</v>
      </c>
      <c r="D32" t="s">
        <v>540</v>
      </c>
      <c r="E32" t="s">
        <v>1028</v>
      </c>
    </row>
    <row r="33" spans="1:5" x14ac:dyDescent="0.25">
      <c r="B33" t="s">
        <v>183</v>
      </c>
      <c r="C33" t="s">
        <v>1677</v>
      </c>
      <c r="D33" t="s">
        <v>540</v>
      </c>
      <c r="E33" t="s">
        <v>1676</v>
      </c>
    </row>
    <row r="34" spans="1:5" x14ac:dyDescent="0.25">
      <c r="B34" t="s">
        <v>183</v>
      </c>
      <c r="C34" t="s">
        <v>1263</v>
      </c>
      <c r="D34" t="s">
        <v>1264</v>
      </c>
      <c r="E34" t="s">
        <v>1265</v>
      </c>
    </row>
    <row r="35" spans="1:5" x14ac:dyDescent="0.25">
      <c r="B35" t="s">
        <v>183</v>
      </c>
      <c r="C35" t="s">
        <v>1611</v>
      </c>
      <c r="D35" t="s">
        <v>540</v>
      </c>
      <c r="E35" t="s">
        <v>1620</v>
      </c>
    </row>
    <row r="36" spans="1:5" x14ac:dyDescent="0.25">
      <c r="B36" t="s">
        <v>183</v>
      </c>
      <c r="C36" t="s">
        <v>250</v>
      </c>
      <c r="D36" t="s">
        <v>540</v>
      </c>
      <c r="E36" t="s">
        <v>1028</v>
      </c>
    </row>
    <row r="37" spans="1:5" x14ac:dyDescent="0.25">
      <c r="B37" t="s">
        <v>1612</v>
      </c>
      <c r="C37" t="s">
        <v>1268</v>
      </c>
      <c r="D37" t="s">
        <v>540</v>
      </c>
      <c r="E37" t="s">
        <v>1266</v>
      </c>
    </row>
    <row r="38" spans="1:5" x14ac:dyDescent="0.25">
      <c r="B38" t="s">
        <v>1612</v>
      </c>
      <c r="C38" t="s">
        <v>248</v>
      </c>
      <c r="D38" t="s">
        <v>540</v>
      </c>
      <c r="E38" t="s">
        <v>1028</v>
      </c>
    </row>
    <row r="39" spans="1:5" x14ac:dyDescent="0.25">
      <c r="B39" t="s">
        <v>1612</v>
      </c>
      <c r="C39" t="s">
        <v>1678</v>
      </c>
      <c r="D39" t="s">
        <v>540</v>
      </c>
      <c r="E39" t="s">
        <v>1676</v>
      </c>
    </row>
    <row r="40" spans="1:5" x14ac:dyDescent="0.25">
      <c r="B40" t="s">
        <v>257</v>
      </c>
      <c r="E40" t="s">
        <v>255</v>
      </c>
    </row>
    <row r="41" spans="1:5" x14ac:dyDescent="0.25">
      <c r="B41" t="s">
        <v>723</v>
      </c>
      <c r="E41" t="s">
        <v>255</v>
      </c>
    </row>
    <row r="42" spans="1:5" x14ac:dyDescent="0.25">
      <c r="B42" t="s">
        <v>256</v>
      </c>
      <c r="E42" t="s">
        <v>255</v>
      </c>
    </row>
    <row r="43" spans="1:5" s="445" customFormat="1" x14ac:dyDescent="0.25">
      <c r="A43" s="686">
        <v>41586</v>
      </c>
      <c r="B43" s="445" t="s">
        <v>724</v>
      </c>
      <c r="C43" s="445" t="s">
        <v>1613</v>
      </c>
      <c r="D43" s="445" t="s">
        <v>540</v>
      </c>
      <c r="E43" s="445" t="s">
        <v>1620</v>
      </c>
    </row>
    <row r="44" spans="1:5" s="445" customFormat="1" x14ac:dyDescent="0.25">
      <c r="A44" s="923"/>
      <c r="B44" s="445" t="s">
        <v>1482</v>
      </c>
      <c r="C44" s="445" t="s">
        <v>119</v>
      </c>
      <c r="D44" s="445" t="s">
        <v>540</v>
      </c>
      <c r="E44" s="445" t="s">
        <v>118</v>
      </c>
    </row>
    <row r="45" spans="1:5" s="445" customFormat="1" x14ac:dyDescent="0.25">
      <c r="A45" s="686">
        <v>41725</v>
      </c>
      <c r="B45" s="445" t="s">
        <v>724</v>
      </c>
      <c r="C45" s="445" t="s">
        <v>535</v>
      </c>
      <c r="D45" s="445" t="s">
        <v>1224</v>
      </c>
      <c r="E45" s="445" t="s">
        <v>1225</v>
      </c>
    </row>
    <row r="46" spans="1:5" s="445" customFormat="1" x14ac:dyDescent="0.25">
      <c r="A46" s="686">
        <v>41822</v>
      </c>
      <c r="B46" s="445" t="s">
        <v>1612</v>
      </c>
      <c r="C46" s="445" t="s">
        <v>197</v>
      </c>
      <c r="D46" s="445" t="s">
        <v>540</v>
      </c>
      <c r="E46" s="899" t="s">
        <v>198</v>
      </c>
    </row>
    <row r="47" spans="1:5" s="445" customFormat="1" x14ac:dyDescent="0.25">
      <c r="A47" s="686">
        <v>41828</v>
      </c>
      <c r="B47" s="445" t="s">
        <v>724</v>
      </c>
      <c r="C47" s="445" t="s">
        <v>1296</v>
      </c>
      <c r="D47" s="445" t="s">
        <v>540</v>
      </c>
      <c r="E47" s="445" t="s">
        <v>1297</v>
      </c>
    </row>
    <row r="48" spans="1:5" s="445" customFormat="1" x14ac:dyDescent="0.25">
      <c r="A48" s="686"/>
      <c r="B48" s="445" t="s">
        <v>724</v>
      </c>
      <c r="C48" s="445" t="s">
        <v>1298</v>
      </c>
      <c r="D48" s="445" t="s">
        <v>540</v>
      </c>
      <c r="E48" s="445" t="s">
        <v>1620</v>
      </c>
    </row>
    <row r="49" spans="1:5" s="449" customFormat="1" x14ac:dyDescent="0.25">
      <c r="A49" s="900"/>
      <c r="B49" s="449" t="s">
        <v>183</v>
      </c>
      <c r="C49" s="449" t="s">
        <v>1299</v>
      </c>
      <c r="D49" s="449" t="s">
        <v>540</v>
      </c>
      <c r="E49" s="449" t="s">
        <v>1300</v>
      </c>
    </row>
    <row r="50" spans="1:5" s="449" customFormat="1" x14ac:dyDescent="0.25">
      <c r="A50" s="900"/>
      <c r="B50" s="449" t="s">
        <v>183</v>
      </c>
      <c r="C50" s="449" t="s">
        <v>312</v>
      </c>
      <c r="D50" s="449" t="s">
        <v>540</v>
      </c>
      <c r="E50" s="449" t="s">
        <v>313</v>
      </c>
    </row>
    <row r="51" spans="1:5" s="449" customFormat="1" x14ac:dyDescent="0.25">
      <c r="A51" s="900"/>
      <c r="B51" s="449" t="s">
        <v>1612</v>
      </c>
      <c r="C51" s="449" t="s">
        <v>314</v>
      </c>
      <c r="D51" s="449" t="s">
        <v>540</v>
      </c>
      <c r="E51" s="449" t="s">
        <v>313</v>
      </c>
    </row>
    <row r="52" spans="1:5" s="445" customFormat="1" x14ac:dyDescent="0.25">
      <c r="A52" s="686"/>
      <c r="B52" s="445" t="s">
        <v>541</v>
      </c>
      <c r="C52" s="445" t="s">
        <v>1324</v>
      </c>
      <c r="D52" s="445" t="s">
        <v>539</v>
      </c>
      <c r="E52" s="445" t="s">
        <v>311</v>
      </c>
    </row>
    <row r="53" spans="1:5" s="445" customFormat="1" x14ac:dyDescent="0.25">
      <c r="A53" s="214"/>
      <c r="B53" s="445" t="s">
        <v>541</v>
      </c>
      <c r="C53" s="445" t="s">
        <v>1512</v>
      </c>
      <c r="D53" s="445" t="s">
        <v>540</v>
      </c>
      <c r="E53" s="445" t="s">
        <v>1295</v>
      </c>
    </row>
    <row r="54" spans="1:5" x14ac:dyDescent="0.25">
      <c r="B54" s="449" t="s">
        <v>256</v>
      </c>
      <c r="C54" s="449" t="s">
        <v>1366</v>
      </c>
      <c r="D54" s="449" t="s">
        <v>255</v>
      </c>
      <c r="E54" s="449" t="s">
        <v>539</v>
      </c>
    </row>
    <row r="55" spans="1:5" x14ac:dyDescent="0.25">
      <c r="A55" s="686">
        <v>41864</v>
      </c>
      <c r="B55" s="449" t="s">
        <v>724</v>
      </c>
      <c r="C55" s="449" t="s">
        <v>1584</v>
      </c>
      <c r="D55" s="449" t="s">
        <v>539</v>
      </c>
      <c r="E55" s="449" t="s">
        <v>1586</v>
      </c>
    </row>
    <row r="56" spans="1:5" s="445" customFormat="1" x14ac:dyDescent="0.25">
      <c r="A56" s="686"/>
      <c r="B56" s="445" t="s">
        <v>724</v>
      </c>
      <c r="C56" s="445" t="s">
        <v>1298</v>
      </c>
      <c r="D56" s="445" t="s">
        <v>540</v>
      </c>
      <c r="E56" s="445" t="s">
        <v>1620</v>
      </c>
    </row>
    <row r="57" spans="1:5" x14ac:dyDescent="0.25">
      <c r="A57" s="686"/>
      <c r="B57" s="449" t="s">
        <v>183</v>
      </c>
      <c r="C57" s="449" t="s">
        <v>1585</v>
      </c>
      <c r="D57" s="449" t="s">
        <v>540</v>
      </c>
      <c r="E57" t="s">
        <v>1689</v>
      </c>
    </row>
    <row r="58" spans="1:5" x14ac:dyDescent="0.25">
      <c r="A58" s="686"/>
      <c r="B58" s="449" t="s">
        <v>183</v>
      </c>
      <c r="C58" s="449" t="s">
        <v>1645</v>
      </c>
      <c r="D58" s="449" t="s">
        <v>540</v>
      </c>
      <c r="E58" s="449" t="s">
        <v>1689</v>
      </c>
    </row>
    <row r="59" spans="1:5" x14ac:dyDescent="0.25">
      <c r="A59" s="686"/>
      <c r="B59" s="449" t="s">
        <v>183</v>
      </c>
      <c r="C59" s="449" t="s">
        <v>558</v>
      </c>
      <c r="D59" s="449" t="s">
        <v>540</v>
      </c>
      <c r="E59" s="449" t="s">
        <v>1689</v>
      </c>
    </row>
    <row r="60" spans="1:5" x14ac:dyDescent="0.25">
      <c r="A60" s="686"/>
      <c r="B60" s="449" t="s">
        <v>183</v>
      </c>
      <c r="C60" s="449" t="s">
        <v>559</v>
      </c>
      <c r="D60" s="449" t="s">
        <v>540</v>
      </c>
      <c r="E60" s="449" t="s">
        <v>1689</v>
      </c>
    </row>
    <row r="61" spans="1:5" x14ac:dyDescent="0.25">
      <c r="A61" s="686"/>
      <c r="B61" s="449" t="s">
        <v>1612</v>
      </c>
      <c r="C61" s="449" t="s">
        <v>1587</v>
      </c>
      <c r="D61" s="449" t="s">
        <v>540</v>
      </c>
      <c r="E61" t="s">
        <v>1689</v>
      </c>
    </row>
    <row r="62" spans="1:5" x14ac:dyDescent="0.25">
      <c r="A62" s="686"/>
      <c r="B62" s="449" t="s">
        <v>1482</v>
      </c>
      <c r="C62" s="449" t="s">
        <v>1582</v>
      </c>
      <c r="D62" s="449" t="s">
        <v>540</v>
      </c>
      <c r="E62" s="449" t="s">
        <v>1583</v>
      </c>
    </row>
    <row r="63" spans="1:5" x14ac:dyDescent="0.25">
      <c r="A63" s="686">
        <v>41947</v>
      </c>
      <c r="B63" s="449" t="s">
        <v>1969</v>
      </c>
      <c r="C63" s="449"/>
      <c r="D63" s="449" t="s">
        <v>539</v>
      </c>
      <c r="E63" s="449" t="s">
        <v>1977</v>
      </c>
    </row>
    <row r="64" spans="1:5" x14ac:dyDescent="0.25">
      <c r="A64" s="686"/>
      <c r="B64" s="449" t="s">
        <v>724</v>
      </c>
      <c r="C64" s="449" t="s">
        <v>1984</v>
      </c>
      <c r="D64" s="449" t="s">
        <v>540</v>
      </c>
      <c r="E64" s="449" t="s">
        <v>1979</v>
      </c>
    </row>
    <row r="65" spans="1:5" s="445" customFormat="1" x14ac:dyDescent="0.25">
      <c r="A65" s="686"/>
      <c r="B65" s="445" t="s">
        <v>724</v>
      </c>
      <c r="C65" s="445" t="s">
        <v>1983</v>
      </c>
      <c r="D65" s="445" t="s">
        <v>540</v>
      </c>
      <c r="E65" s="445" t="s">
        <v>1982</v>
      </c>
    </row>
    <row r="66" spans="1:5" x14ac:dyDescent="0.25">
      <c r="A66" s="686"/>
      <c r="B66" s="449" t="s">
        <v>724</v>
      </c>
      <c r="C66" s="449" t="s">
        <v>1604</v>
      </c>
      <c r="D66" s="449" t="s">
        <v>540</v>
      </c>
      <c r="E66" s="449" t="s">
        <v>1978</v>
      </c>
    </row>
    <row r="67" spans="1:5" s="445" customFormat="1" x14ac:dyDescent="0.25">
      <c r="A67" s="686"/>
      <c r="B67" s="445" t="s">
        <v>724</v>
      </c>
      <c r="C67" s="445" t="s">
        <v>1298</v>
      </c>
      <c r="D67" s="445" t="s">
        <v>540</v>
      </c>
      <c r="E67" s="445" t="s">
        <v>1620</v>
      </c>
    </row>
    <row r="68" spans="1:5" x14ac:dyDescent="0.25">
      <c r="A68" s="686"/>
      <c r="B68" s="449" t="s">
        <v>534</v>
      </c>
      <c r="C68" s="449" t="s">
        <v>1981</v>
      </c>
      <c r="D68" s="449" t="s">
        <v>540</v>
      </c>
      <c r="E68" s="449" t="s">
        <v>1689</v>
      </c>
    </row>
    <row r="69" spans="1:5" x14ac:dyDescent="0.25">
      <c r="A69" s="686"/>
      <c r="B69" s="449" t="s">
        <v>1482</v>
      </c>
      <c r="C69" s="449" t="s">
        <v>1970</v>
      </c>
      <c r="D69" s="449" t="s">
        <v>540</v>
      </c>
      <c r="E69" s="449" t="s">
        <v>1971</v>
      </c>
    </row>
    <row r="70" spans="1:5" x14ac:dyDescent="0.25">
      <c r="B70" s="449" t="s">
        <v>1482</v>
      </c>
      <c r="C70" s="449" t="s">
        <v>1975</v>
      </c>
      <c r="D70" s="449" t="s">
        <v>540</v>
      </c>
      <c r="E70" s="449" t="s">
        <v>1976</v>
      </c>
    </row>
    <row r="71" spans="1:5" x14ac:dyDescent="0.25">
      <c r="A71" s="686">
        <v>42264</v>
      </c>
      <c r="B71" s="449" t="s">
        <v>724</v>
      </c>
      <c r="C71" s="449" t="s">
        <v>1990</v>
      </c>
      <c r="D71" s="449" t="s">
        <v>540</v>
      </c>
      <c r="E71" s="449" t="s">
        <v>2014</v>
      </c>
    </row>
    <row r="72" spans="1:5" x14ac:dyDescent="0.25">
      <c r="A72" s="686"/>
      <c r="B72" s="449" t="s">
        <v>724</v>
      </c>
      <c r="C72" s="449" t="s">
        <v>2019</v>
      </c>
      <c r="D72" s="449" t="s">
        <v>540</v>
      </c>
      <c r="E72" s="449" t="s">
        <v>313</v>
      </c>
    </row>
    <row r="73" spans="1:5" x14ac:dyDescent="0.25">
      <c r="A73" s="686"/>
      <c r="B73" s="449" t="s">
        <v>724</v>
      </c>
      <c r="C73" s="449" t="s">
        <v>2013</v>
      </c>
      <c r="D73" s="449" t="s">
        <v>539</v>
      </c>
      <c r="E73" s="449" t="s">
        <v>313</v>
      </c>
    </row>
    <row r="74" spans="1:5" s="445" customFormat="1" x14ac:dyDescent="0.25">
      <c r="A74" s="686"/>
      <c r="B74" s="445" t="s">
        <v>724</v>
      </c>
      <c r="C74" s="445" t="s">
        <v>1298</v>
      </c>
      <c r="D74" s="445" t="s">
        <v>540</v>
      </c>
      <c r="E74" s="445" t="s">
        <v>1620</v>
      </c>
    </row>
    <row r="75" spans="1:5" x14ac:dyDescent="0.25">
      <c r="A75" s="686"/>
      <c r="B75" s="449" t="s">
        <v>183</v>
      </c>
      <c r="C75" s="449" t="s">
        <v>2022</v>
      </c>
      <c r="D75" s="449" t="s">
        <v>540</v>
      </c>
      <c r="E75" s="449" t="s">
        <v>313</v>
      </c>
    </row>
    <row r="76" spans="1:5" x14ac:dyDescent="0.25">
      <c r="A76" s="686"/>
      <c r="B76" s="449" t="s">
        <v>183</v>
      </c>
      <c r="C76" s="449" t="s">
        <v>2015</v>
      </c>
      <c r="D76" s="449" t="s">
        <v>540</v>
      </c>
      <c r="E76" s="449" t="s">
        <v>313</v>
      </c>
    </row>
    <row r="77" spans="1:5" x14ac:dyDescent="0.25">
      <c r="B77" s="449" t="s">
        <v>1482</v>
      </c>
      <c r="C77" s="449" t="s">
        <v>1988</v>
      </c>
      <c r="D77" s="449" t="s">
        <v>540</v>
      </c>
      <c r="E77" s="449" t="s">
        <v>1989</v>
      </c>
    </row>
    <row r="78" spans="1:5" x14ac:dyDescent="0.25">
      <c r="B78" s="449" t="s">
        <v>1482</v>
      </c>
      <c r="C78" s="449" t="s">
        <v>2018</v>
      </c>
      <c r="D78" s="449" t="s">
        <v>540</v>
      </c>
      <c r="E78" s="449" t="s">
        <v>1689</v>
      </c>
    </row>
    <row r="79" spans="1:5" x14ac:dyDescent="0.25">
      <c r="B79" s="449" t="s">
        <v>1482</v>
      </c>
      <c r="C79" s="449" t="s">
        <v>2020</v>
      </c>
      <c r="D79" s="449" t="s">
        <v>540</v>
      </c>
      <c r="E79" s="449" t="s">
        <v>2021</v>
      </c>
    </row>
    <row r="80" spans="1:5" x14ac:dyDescent="0.25">
      <c r="A80" s="686">
        <v>42332</v>
      </c>
      <c r="B80" s="449" t="s">
        <v>724</v>
      </c>
      <c r="C80" s="449" t="s">
        <v>1298</v>
      </c>
      <c r="D80" s="449" t="s">
        <v>540</v>
      </c>
      <c r="E80" s="449" t="s">
        <v>2026</v>
      </c>
    </row>
    <row r="81" spans="1:5" x14ac:dyDescent="0.25">
      <c r="A81" s="686"/>
      <c r="B81" s="449" t="s">
        <v>724</v>
      </c>
      <c r="C81" s="449" t="s">
        <v>1990</v>
      </c>
      <c r="D81" s="449" t="s">
        <v>540</v>
      </c>
      <c r="E81" s="449" t="s">
        <v>313</v>
      </c>
    </row>
    <row r="82" spans="1:5" x14ac:dyDescent="0.25">
      <c r="A82" s="686"/>
      <c r="B82" s="449" t="s">
        <v>724</v>
      </c>
      <c r="C82" s="449" t="s">
        <v>2019</v>
      </c>
      <c r="D82" s="449" t="s">
        <v>540</v>
      </c>
      <c r="E82" s="449" t="s">
        <v>313</v>
      </c>
    </row>
    <row r="83" spans="1:5" x14ac:dyDescent="0.25">
      <c r="A83" s="686"/>
      <c r="B83" s="449" t="s">
        <v>183</v>
      </c>
      <c r="C83" s="449" t="s">
        <v>2025</v>
      </c>
      <c r="D83" s="449" t="s">
        <v>540</v>
      </c>
      <c r="E83" s="449" t="s">
        <v>313</v>
      </c>
    </row>
    <row r="84" spans="1:5" x14ac:dyDescent="0.25">
      <c r="A84" s="686"/>
      <c r="B84" s="449" t="s">
        <v>1482</v>
      </c>
      <c r="C84" s="449" t="s">
        <v>2023</v>
      </c>
      <c r="D84" s="449" t="s">
        <v>540</v>
      </c>
      <c r="E84" s="449" t="s">
        <v>2024</v>
      </c>
    </row>
    <row r="85" spans="1:5" x14ac:dyDescent="0.25">
      <c r="A85" s="686"/>
      <c r="B85" s="449" t="s">
        <v>257</v>
      </c>
      <c r="C85" s="449" t="s">
        <v>2027</v>
      </c>
      <c r="D85" s="449" t="s">
        <v>1264</v>
      </c>
      <c r="E85" s="449" t="s">
        <v>2028</v>
      </c>
    </row>
    <row r="86" spans="1:5" x14ac:dyDescent="0.25">
      <c r="A86" s="686">
        <v>42524</v>
      </c>
      <c r="B86" s="449" t="s">
        <v>724</v>
      </c>
      <c r="C86" s="449" t="s">
        <v>1296</v>
      </c>
      <c r="D86" s="449" t="s">
        <v>540</v>
      </c>
      <c r="E86" s="449" t="s">
        <v>2057</v>
      </c>
    </row>
    <row r="87" spans="1:5" x14ac:dyDescent="0.25">
      <c r="B87" s="449" t="s">
        <v>724</v>
      </c>
      <c r="C87" s="449" t="s">
        <v>2058</v>
      </c>
      <c r="D87" s="449" t="s">
        <v>540</v>
      </c>
      <c r="E87" s="449" t="s">
        <v>2059</v>
      </c>
    </row>
    <row r="88" spans="1:5" x14ac:dyDescent="0.25">
      <c r="B88" s="449" t="s">
        <v>724</v>
      </c>
      <c r="C88" s="449" t="s">
        <v>2070</v>
      </c>
      <c r="D88" s="449" t="s">
        <v>540</v>
      </c>
      <c r="E88" s="449" t="s">
        <v>313</v>
      </c>
    </row>
    <row r="89" spans="1:5" x14ac:dyDescent="0.25">
      <c r="B89" s="449" t="s">
        <v>724</v>
      </c>
      <c r="C89" s="449" t="s">
        <v>2071</v>
      </c>
      <c r="D89" s="449" t="s">
        <v>540</v>
      </c>
      <c r="E89" s="449" t="s">
        <v>313</v>
      </c>
    </row>
    <row r="90" spans="1:5" x14ac:dyDescent="0.25">
      <c r="B90" s="449" t="s">
        <v>724</v>
      </c>
      <c r="C90" s="449" t="s">
        <v>1298</v>
      </c>
      <c r="D90" s="449" t="s">
        <v>540</v>
      </c>
      <c r="E90" s="449" t="s">
        <v>2026</v>
      </c>
    </row>
    <row r="91" spans="1:5" x14ac:dyDescent="0.25">
      <c r="B91" s="449" t="s">
        <v>183</v>
      </c>
      <c r="C91" s="449" t="s">
        <v>274</v>
      </c>
      <c r="D91" s="449" t="s">
        <v>540</v>
      </c>
      <c r="E91" s="449" t="s">
        <v>2069</v>
      </c>
    </row>
    <row r="92" spans="1:5" x14ac:dyDescent="0.25">
      <c r="B92" s="449" t="s">
        <v>183</v>
      </c>
      <c r="C92" s="449" t="s">
        <v>2056</v>
      </c>
      <c r="D92" s="449" t="s">
        <v>540</v>
      </c>
      <c r="E92" s="449" t="s">
        <v>1689</v>
      </c>
    </row>
    <row r="93" spans="1:5" x14ac:dyDescent="0.25">
      <c r="B93" s="449" t="s">
        <v>183</v>
      </c>
      <c r="C93" s="449" t="s">
        <v>2060</v>
      </c>
      <c r="D93" s="449" t="s">
        <v>540</v>
      </c>
      <c r="E93" s="449" t="s">
        <v>2061</v>
      </c>
    </row>
    <row r="94" spans="1:5" x14ac:dyDescent="0.25">
      <c r="B94" s="449" t="s">
        <v>541</v>
      </c>
      <c r="C94" s="449" t="s">
        <v>2074</v>
      </c>
      <c r="D94" s="449" t="s">
        <v>540</v>
      </c>
      <c r="E94" s="449" t="s">
        <v>2063</v>
      </c>
    </row>
    <row r="95" spans="1:5" x14ac:dyDescent="0.25">
      <c r="B95" s="449" t="s">
        <v>534</v>
      </c>
      <c r="C95" s="449" t="s">
        <v>2055</v>
      </c>
      <c r="D95" s="449" t="s">
        <v>540</v>
      </c>
      <c r="E95" s="449"/>
    </row>
    <row r="96" spans="1:5" x14ac:dyDescent="0.25">
      <c r="B96" s="449" t="s">
        <v>1482</v>
      </c>
      <c r="C96" s="449" t="s">
        <v>2062</v>
      </c>
      <c r="D96" s="449" t="s">
        <v>540</v>
      </c>
      <c r="E96" s="449" t="s">
        <v>2063</v>
      </c>
    </row>
    <row r="97" spans="1:5" x14ac:dyDescent="0.25">
      <c r="B97" s="449" t="s">
        <v>2064</v>
      </c>
      <c r="C97" s="449" t="s">
        <v>2065</v>
      </c>
      <c r="D97" s="449" t="s">
        <v>539</v>
      </c>
      <c r="E97" s="449" t="s">
        <v>2066</v>
      </c>
    </row>
    <row r="98" spans="1:5" x14ac:dyDescent="0.25">
      <c r="B98" s="449" t="s">
        <v>2064</v>
      </c>
      <c r="C98" s="449" t="s">
        <v>2067</v>
      </c>
      <c r="D98" s="449" t="s">
        <v>540</v>
      </c>
      <c r="E98" s="449" t="s">
        <v>2068</v>
      </c>
    </row>
    <row r="99" spans="1:5" x14ac:dyDescent="0.25">
      <c r="A99" s="686">
        <v>42555</v>
      </c>
      <c r="B99" s="449" t="s">
        <v>724</v>
      </c>
      <c r="C99" s="449" t="s">
        <v>1298</v>
      </c>
      <c r="D99" s="449" t="s">
        <v>540</v>
      </c>
      <c r="E99" s="449" t="s">
        <v>2026</v>
      </c>
    </row>
    <row r="100" spans="1:5" x14ac:dyDescent="0.25">
      <c r="B100" s="449" t="s">
        <v>183</v>
      </c>
      <c r="C100" s="449" t="s">
        <v>2078</v>
      </c>
      <c r="D100" s="449" t="s">
        <v>539</v>
      </c>
      <c r="E100" s="449" t="s">
        <v>2076</v>
      </c>
    </row>
    <row r="101" spans="1:5" x14ac:dyDescent="0.25">
      <c r="B101" s="449" t="s">
        <v>183</v>
      </c>
      <c r="C101" s="449" t="s">
        <v>2079</v>
      </c>
      <c r="D101" t="s">
        <v>1264</v>
      </c>
      <c r="E101" t="s">
        <v>2075</v>
      </c>
    </row>
    <row r="102" spans="1:5" x14ac:dyDescent="0.25">
      <c r="A102" s="686">
        <v>42558</v>
      </c>
      <c r="B102" s="449" t="s">
        <v>724</v>
      </c>
      <c r="C102" s="449" t="s">
        <v>1298</v>
      </c>
      <c r="D102" t="s">
        <v>540</v>
      </c>
      <c r="E102" t="s">
        <v>2026</v>
      </c>
    </row>
    <row r="103" spans="1:5" x14ac:dyDescent="0.25">
      <c r="A103" s="686"/>
      <c r="B103" s="449" t="s">
        <v>724</v>
      </c>
      <c r="C103" s="449" t="s">
        <v>1604</v>
      </c>
      <c r="D103" t="s">
        <v>540</v>
      </c>
      <c r="E103" t="s">
        <v>313</v>
      </c>
    </row>
    <row r="104" spans="1:5" x14ac:dyDescent="0.25">
      <c r="B104" s="449" t="s">
        <v>183</v>
      </c>
      <c r="C104" s="449" t="s">
        <v>2080</v>
      </c>
      <c r="D104" t="s">
        <v>540</v>
      </c>
      <c r="E104" t="s">
        <v>1689</v>
      </c>
    </row>
    <row r="105" spans="1:5" x14ac:dyDescent="0.25">
      <c r="A105" s="686">
        <v>42653</v>
      </c>
      <c r="B105" s="449" t="s">
        <v>724</v>
      </c>
      <c r="C105" s="449" t="s">
        <v>1298</v>
      </c>
      <c r="D105" t="s">
        <v>540</v>
      </c>
      <c r="E105" t="s">
        <v>2026</v>
      </c>
    </row>
    <row r="106" spans="1:5" x14ac:dyDescent="0.25">
      <c r="B106" s="449" t="s">
        <v>274</v>
      </c>
      <c r="C106" s="449" t="s">
        <v>2081</v>
      </c>
      <c r="D106" t="s">
        <v>255</v>
      </c>
      <c r="E106" t="s">
        <v>2082</v>
      </c>
    </row>
    <row r="107" spans="1:5" x14ac:dyDescent="0.25">
      <c r="B107" s="449" t="s">
        <v>183</v>
      </c>
      <c r="C107" s="449" t="s">
        <v>2089</v>
      </c>
      <c r="D107" s="445" t="s">
        <v>540</v>
      </c>
      <c r="E107" s="445" t="s">
        <v>2090</v>
      </c>
    </row>
    <row r="108" spans="1:5" x14ac:dyDescent="0.25">
      <c r="B108" s="449" t="s">
        <v>1482</v>
      </c>
      <c r="C108" s="449" t="s">
        <v>2091</v>
      </c>
      <c r="D108" s="445" t="s">
        <v>540</v>
      </c>
      <c r="E108" s="445" t="s">
        <v>1269</v>
      </c>
    </row>
    <row r="109" spans="1:5" x14ac:dyDescent="0.25">
      <c r="A109" s="686">
        <v>42705</v>
      </c>
      <c r="B109" s="449" t="s">
        <v>724</v>
      </c>
      <c r="C109" s="449" t="s">
        <v>1298</v>
      </c>
      <c r="D109" s="445" t="s">
        <v>540</v>
      </c>
      <c r="E109" s="445" t="s">
        <v>2026</v>
      </c>
    </row>
    <row r="110" spans="1:5" x14ac:dyDescent="0.25">
      <c r="B110" s="449" t="s">
        <v>534</v>
      </c>
      <c r="C110" s="449" t="s">
        <v>2095</v>
      </c>
      <c r="D110" s="445" t="s">
        <v>540</v>
      </c>
      <c r="E110" s="445" t="s">
        <v>313</v>
      </c>
    </row>
    <row r="111" spans="1:5" x14ac:dyDescent="0.25">
      <c r="B111" s="449" t="s">
        <v>534</v>
      </c>
      <c r="C111" s="449" t="s">
        <v>2096</v>
      </c>
      <c r="D111" s="445" t="s">
        <v>540</v>
      </c>
      <c r="E111" s="445" t="s">
        <v>313</v>
      </c>
    </row>
    <row r="112" spans="1:5" x14ac:dyDescent="0.25">
      <c r="B112" s="449" t="s">
        <v>1482</v>
      </c>
      <c r="C112" t="s">
        <v>2093</v>
      </c>
      <c r="D112" t="s">
        <v>539</v>
      </c>
      <c r="E112" t="s">
        <v>2094</v>
      </c>
    </row>
    <row r="113" spans="1:5" x14ac:dyDescent="0.25">
      <c r="A113" s="686">
        <v>42759</v>
      </c>
      <c r="B113" s="449" t="s">
        <v>257</v>
      </c>
      <c r="C113" t="s">
        <v>2098</v>
      </c>
      <c r="D113" t="s">
        <v>539</v>
      </c>
      <c r="E113" t="s">
        <v>2099</v>
      </c>
    </row>
    <row r="114" spans="1:5" s="33" customFormat="1" x14ac:dyDescent="0.25">
      <c r="A114" s="246"/>
      <c r="B114" s="449" t="s">
        <v>183</v>
      </c>
      <c r="C114" s="33" t="s">
        <v>2097</v>
      </c>
      <c r="D114" s="33" t="s">
        <v>540</v>
      </c>
      <c r="E114" s="449" t="s">
        <v>2105</v>
      </c>
    </row>
    <row r="115" spans="1:5" s="33" customFormat="1" x14ac:dyDescent="0.25">
      <c r="A115" s="246"/>
      <c r="B115" s="449" t="s">
        <v>724</v>
      </c>
      <c r="C115" s="449" t="s">
        <v>1298</v>
      </c>
      <c r="D115" t="s">
        <v>540</v>
      </c>
      <c r="E115" t="s">
        <v>2026</v>
      </c>
    </row>
    <row r="116" spans="1:5" s="33" customFormat="1" x14ac:dyDescent="0.25">
      <c r="A116" s="900">
        <v>42845</v>
      </c>
      <c r="B116" s="449" t="s">
        <v>724</v>
      </c>
      <c r="C116" s="449" t="s">
        <v>2109</v>
      </c>
      <c r="D116" s="33" t="s">
        <v>539</v>
      </c>
      <c r="E116" s="33" t="s">
        <v>2110</v>
      </c>
    </row>
    <row r="117" spans="1:5" s="33" customFormat="1" x14ac:dyDescent="0.25">
      <c r="A117" s="900"/>
      <c r="B117" s="449" t="s">
        <v>724</v>
      </c>
      <c r="C117" s="449" t="s">
        <v>2168</v>
      </c>
      <c r="D117" s="991" t="s">
        <v>540</v>
      </c>
      <c r="E117" s="449" t="s">
        <v>2169</v>
      </c>
    </row>
    <row r="118" spans="1:5" s="33" customFormat="1" x14ac:dyDescent="0.25">
      <c r="A118" s="900"/>
      <c r="B118" s="449" t="s">
        <v>724</v>
      </c>
      <c r="C118" s="449" t="s">
        <v>1296</v>
      </c>
      <c r="D118" s="33" t="s">
        <v>540</v>
      </c>
      <c r="E118" s="33" t="s">
        <v>2167</v>
      </c>
    </row>
    <row r="119" spans="1:5" s="33" customFormat="1" x14ac:dyDescent="0.25">
      <c r="A119" s="246"/>
      <c r="B119" s="449" t="s">
        <v>724</v>
      </c>
      <c r="C119" s="449" t="s">
        <v>2163</v>
      </c>
      <c r="D119" s="449" t="s">
        <v>539</v>
      </c>
      <c r="E119" s="449" t="s">
        <v>2110</v>
      </c>
    </row>
    <row r="120" spans="1:5" s="33" customFormat="1" x14ac:dyDescent="0.25">
      <c r="A120" s="246"/>
      <c r="B120" s="449" t="s">
        <v>724</v>
      </c>
      <c r="C120" s="449" t="s">
        <v>1613</v>
      </c>
      <c r="D120" s="449" t="s">
        <v>540</v>
      </c>
      <c r="E120" s="991" t="s">
        <v>2026</v>
      </c>
    </row>
    <row r="121" spans="1:5" s="33" customFormat="1" x14ac:dyDescent="0.25">
      <c r="A121" s="246"/>
      <c r="B121" s="449" t="s">
        <v>724</v>
      </c>
      <c r="C121" s="449" t="s">
        <v>965</v>
      </c>
      <c r="D121" s="449" t="s">
        <v>1264</v>
      </c>
      <c r="E121" s="449" t="s">
        <v>2026</v>
      </c>
    </row>
    <row r="122" spans="1:5" s="33" customFormat="1" x14ac:dyDescent="0.25">
      <c r="A122" s="246"/>
      <c r="B122" s="449" t="s">
        <v>183</v>
      </c>
      <c r="C122" s="449" t="s">
        <v>965</v>
      </c>
      <c r="D122" s="449" t="s">
        <v>1264</v>
      </c>
      <c r="E122" s="449" t="s">
        <v>2026</v>
      </c>
    </row>
    <row r="123" spans="1:5" s="33" customFormat="1" x14ac:dyDescent="0.25">
      <c r="A123" s="246"/>
      <c r="B123" s="449" t="s">
        <v>183</v>
      </c>
      <c r="C123" s="449" t="s">
        <v>2113</v>
      </c>
      <c r="D123" s="449" t="s">
        <v>540</v>
      </c>
      <c r="E123" s="449" t="s">
        <v>2114</v>
      </c>
    </row>
    <row r="124" spans="1:5" s="33" customFormat="1" x14ac:dyDescent="0.25">
      <c r="A124" s="246"/>
      <c r="B124" s="449" t="s">
        <v>183</v>
      </c>
      <c r="C124" s="449" t="s">
        <v>2170</v>
      </c>
      <c r="D124" s="449" t="s">
        <v>539</v>
      </c>
      <c r="E124" s="449" t="s">
        <v>2171</v>
      </c>
    </row>
    <row r="125" spans="1:5" s="33" customFormat="1" x14ac:dyDescent="0.25">
      <c r="A125" s="246"/>
      <c r="B125" s="449" t="s">
        <v>183</v>
      </c>
      <c r="C125" s="449" t="s">
        <v>2161</v>
      </c>
      <c r="D125" s="449" t="s">
        <v>540</v>
      </c>
      <c r="E125" s="449" t="s">
        <v>1689</v>
      </c>
    </row>
    <row r="126" spans="1:5" s="33" customFormat="1" x14ac:dyDescent="0.25">
      <c r="A126" s="246"/>
      <c r="B126" s="449" t="s">
        <v>183</v>
      </c>
      <c r="C126" s="449" t="s">
        <v>2160</v>
      </c>
      <c r="D126" s="449" t="s">
        <v>539</v>
      </c>
      <c r="E126" s="449" t="s">
        <v>1689</v>
      </c>
    </row>
    <row r="127" spans="1:5" s="33" customFormat="1" x14ac:dyDescent="0.25">
      <c r="A127" s="900"/>
      <c r="B127" s="449" t="s">
        <v>1969</v>
      </c>
      <c r="C127" s="449" t="s">
        <v>965</v>
      </c>
      <c r="D127" s="449" t="s">
        <v>1264</v>
      </c>
      <c r="E127" s="449" t="s">
        <v>2026</v>
      </c>
    </row>
    <row r="128" spans="1:5" x14ac:dyDescent="0.25">
      <c r="B128" s="449" t="s">
        <v>1612</v>
      </c>
      <c r="C128" s="449" t="s">
        <v>965</v>
      </c>
      <c r="D128" s="449" t="s">
        <v>1264</v>
      </c>
      <c r="E128" s="449" t="s">
        <v>2026</v>
      </c>
    </row>
    <row r="129" spans="1:5" x14ac:dyDescent="0.25">
      <c r="B129" s="449" t="s">
        <v>257</v>
      </c>
      <c r="C129" s="449" t="s">
        <v>2107</v>
      </c>
      <c r="D129" s="449" t="s">
        <v>540</v>
      </c>
      <c r="E129" s="449" t="s">
        <v>2116</v>
      </c>
    </row>
    <row r="130" spans="1:5" x14ac:dyDescent="0.25">
      <c r="B130" s="449" t="s">
        <v>534</v>
      </c>
      <c r="C130" s="449" t="s">
        <v>2112</v>
      </c>
      <c r="D130" s="449" t="s">
        <v>540</v>
      </c>
      <c r="E130" s="449" t="s">
        <v>1689</v>
      </c>
    </row>
    <row r="131" spans="1:5" x14ac:dyDescent="0.25">
      <c r="B131" s="449" t="s">
        <v>534</v>
      </c>
      <c r="C131" s="449" t="s">
        <v>2174</v>
      </c>
      <c r="D131" s="449" t="s">
        <v>540</v>
      </c>
      <c r="E131" s="449" t="s">
        <v>1689</v>
      </c>
    </row>
    <row r="132" spans="1:5" x14ac:dyDescent="0.25">
      <c r="B132" s="449" t="s">
        <v>1482</v>
      </c>
      <c r="C132" s="449" t="s">
        <v>2165</v>
      </c>
      <c r="D132" s="449" t="s">
        <v>539</v>
      </c>
      <c r="E132" s="449" t="s">
        <v>2166</v>
      </c>
    </row>
    <row r="133" spans="1:5" s="33" customFormat="1" x14ac:dyDescent="0.25">
      <c r="A133" s="246"/>
      <c r="B133" s="449" t="s">
        <v>2064</v>
      </c>
      <c r="C133" s="449" t="s">
        <v>1299</v>
      </c>
      <c r="D133" s="449" t="s">
        <v>539</v>
      </c>
      <c r="E133" s="991" t="s">
        <v>2110</v>
      </c>
    </row>
    <row r="134" spans="1:5" s="33" customFormat="1" x14ac:dyDescent="0.25">
      <c r="A134" s="900"/>
      <c r="B134" s="449" t="s">
        <v>257</v>
      </c>
      <c r="C134" s="449"/>
      <c r="D134" s="449"/>
      <c r="E134" s="991" t="s">
        <v>2106</v>
      </c>
    </row>
    <row r="135" spans="1:5" x14ac:dyDescent="0.25">
      <c r="B135" s="449" t="s">
        <v>723</v>
      </c>
      <c r="E135" s="991" t="s">
        <v>2106</v>
      </c>
    </row>
    <row r="136" spans="1:5" s="33" customFormat="1" x14ac:dyDescent="0.25">
      <c r="A136" s="246"/>
      <c r="B136" s="449" t="s">
        <v>2131</v>
      </c>
      <c r="D136" s="449" t="s">
        <v>255</v>
      </c>
      <c r="E136" s="991" t="s">
        <v>2132</v>
      </c>
    </row>
    <row r="137" spans="1:5" s="33" customFormat="1" x14ac:dyDescent="0.25">
      <c r="A137" s="900">
        <v>42898</v>
      </c>
      <c r="B137" s="449" t="s">
        <v>724</v>
      </c>
      <c r="C137" s="449" t="s">
        <v>2175</v>
      </c>
      <c r="D137" s="449" t="s">
        <v>540</v>
      </c>
      <c r="E137" s="449" t="s">
        <v>2176</v>
      </c>
    </row>
    <row r="138" spans="1:5" x14ac:dyDescent="0.25">
      <c r="B138" s="449" t="s">
        <v>724</v>
      </c>
      <c r="C138" s="449" t="s">
        <v>1613</v>
      </c>
      <c r="D138" s="449" t="s">
        <v>540</v>
      </c>
      <c r="E138" s="991" t="s">
        <v>2026</v>
      </c>
    </row>
    <row r="139" spans="1:5" x14ac:dyDescent="0.25">
      <c r="A139" s="686">
        <v>43070</v>
      </c>
      <c r="B139" s="449" t="s">
        <v>2193</v>
      </c>
      <c r="C139" s="449"/>
      <c r="D139" s="449" t="s">
        <v>539</v>
      </c>
      <c r="E139" s="991"/>
    </row>
    <row r="140" spans="1:5" x14ac:dyDescent="0.25">
      <c r="B140" s="449"/>
      <c r="C140" s="449"/>
      <c r="D140" s="449"/>
      <c r="E140" s="991"/>
    </row>
    <row r="141" spans="1:5" x14ac:dyDescent="0.25">
      <c r="B141" s="449"/>
      <c r="C141" s="449"/>
      <c r="D141" s="449"/>
      <c r="E141" s="991"/>
    </row>
    <row r="142" spans="1:5" x14ac:dyDescent="0.25">
      <c r="B142" s="449"/>
      <c r="C142" s="449"/>
      <c r="D142" s="449"/>
      <c r="E142" s="991"/>
    </row>
    <row r="143" spans="1:5" x14ac:dyDescent="0.25">
      <c r="B143" s="449"/>
      <c r="C143" s="449"/>
      <c r="D143" s="449"/>
      <c r="E143" s="991"/>
    </row>
    <row r="144" spans="1:5" x14ac:dyDescent="0.25">
      <c r="B144" s="449"/>
      <c r="C144" s="449"/>
      <c r="D144" s="449"/>
      <c r="E144" s="991"/>
    </row>
    <row r="145" spans="1:5" x14ac:dyDescent="0.25">
      <c r="B145" s="449"/>
      <c r="C145" s="449"/>
      <c r="D145" s="449"/>
      <c r="E145" s="991"/>
    </row>
    <row r="146" spans="1:5" x14ac:dyDescent="0.25">
      <c r="B146" s="449"/>
      <c r="C146" s="449"/>
      <c r="D146" s="449"/>
      <c r="E146" s="991"/>
    </row>
    <row r="147" spans="1:5" x14ac:dyDescent="0.25">
      <c r="B147" s="449"/>
      <c r="C147" s="449"/>
      <c r="D147" s="449"/>
      <c r="E147" s="991"/>
    </row>
    <row r="148" spans="1:5" s="33" customFormat="1" x14ac:dyDescent="0.25">
      <c r="A148" s="246"/>
    </row>
    <row r="149" spans="1:5" s="33" customFormat="1" x14ac:dyDescent="0.25">
      <c r="A149" s="900"/>
      <c r="B149" s="449"/>
      <c r="C149" s="449"/>
      <c r="D149" s="449"/>
      <c r="E149" s="449"/>
    </row>
  </sheetData>
  <phoneticPr fontId="2" type="noConversion"/>
  <pageMargins left="0.78740157499999996" right="0.78740157499999996" top="0.984251969" bottom="0.984251969" header="0.4921259845" footer="0.4921259845"/>
  <pageSetup paperSize="9" orientation="landscape" r:id="rId1"/>
  <headerFooter alignWithMargins="0"/>
  <customProperties>
    <customPr name="SSCSheetTrackingNo"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6"/>
  <sheetViews>
    <sheetView zoomScale="150" zoomScaleNormal="150" workbookViewId="0">
      <selection activeCell="B7" sqref="B7"/>
    </sheetView>
  </sheetViews>
  <sheetFormatPr baseColWidth="10" defaultRowHeight="13.2" x14ac:dyDescent="0.25"/>
  <cols>
    <col min="1" max="1" width="23" style="929" customWidth="1"/>
    <col min="2" max="2" width="30.44140625" customWidth="1"/>
    <col min="3" max="3" width="22.5546875" customWidth="1"/>
  </cols>
  <sheetData>
    <row r="1" spans="1:3" ht="17.399999999999999" x14ac:dyDescent="0.3">
      <c r="A1" s="931" t="s">
        <v>2006</v>
      </c>
    </row>
    <row r="3" spans="1:3" x14ac:dyDescent="0.25">
      <c r="A3" s="932" t="s">
        <v>2012</v>
      </c>
      <c r="B3" s="214" t="s">
        <v>2016</v>
      </c>
    </row>
    <row r="4" spans="1:3" x14ac:dyDescent="0.25">
      <c r="A4" s="930"/>
      <c r="B4" s="445"/>
    </row>
    <row r="5" spans="1:3" x14ac:dyDescent="0.25">
      <c r="A5" s="930" t="s">
        <v>1991</v>
      </c>
      <c r="B5" s="445" t="s">
        <v>1998</v>
      </c>
      <c r="C5" s="445" t="s">
        <v>1992</v>
      </c>
    </row>
    <row r="6" spans="1:3" x14ac:dyDescent="0.25">
      <c r="A6" s="930" t="s">
        <v>1993</v>
      </c>
      <c r="B6" s="445" t="s">
        <v>1995</v>
      </c>
      <c r="C6" s="445" t="s">
        <v>1994</v>
      </c>
    </row>
    <row r="7" spans="1:3" s="214" customFormat="1" x14ac:dyDescent="0.25">
      <c r="A7" s="932" t="s">
        <v>2002</v>
      </c>
      <c r="B7" s="214" t="s">
        <v>2003</v>
      </c>
    </row>
    <row r="9" spans="1:3" x14ac:dyDescent="0.25">
      <c r="A9" s="930" t="s">
        <v>1997</v>
      </c>
      <c r="B9" s="445" t="s">
        <v>1996</v>
      </c>
      <c r="C9" s="445" t="s">
        <v>1992</v>
      </c>
    </row>
    <row r="10" spans="1:3" x14ac:dyDescent="0.25">
      <c r="A10" s="930" t="s">
        <v>1997</v>
      </c>
      <c r="B10" s="445" t="s">
        <v>1999</v>
      </c>
      <c r="C10" s="445" t="s">
        <v>1992</v>
      </c>
    </row>
    <row r="11" spans="1:3" x14ac:dyDescent="0.25">
      <c r="A11" s="930" t="s">
        <v>2000</v>
      </c>
      <c r="B11" s="445" t="s">
        <v>2001</v>
      </c>
      <c r="C11" s="445" t="s">
        <v>1994</v>
      </c>
    </row>
    <row r="12" spans="1:3" s="214" customFormat="1" x14ac:dyDescent="0.25">
      <c r="A12" s="932" t="s">
        <v>2004</v>
      </c>
      <c r="B12" s="214" t="s">
        <v>2005</v>
      </c>
    </row>
    <row r="14" spans="1:3" x14ac:dyDescent="0.25">
      <c r="A14" s="930" t="s">
        <v>2007</v>
      </c>
      <c r="B14" s="445" t="s">
        <v>2010</v>
      </c>
      <c r="C14" s="445" t="s">
        <v>1992</v>
      </c>
    </row>
    <row r="15" spans="1:3" x14ac:dyDescent="0.25">
      <c r="A15" s="930" t="s">
        <v>2008</v>
      </c>
      <c r="B15" s="445" t="s">
        <v>2011</v>
      </c>
      <c r="C15" s="445" t="s">
        <v>1994</v>
      </c>
    </row>
    <row r="16" spans="1:3" s="214" customFormat="1" x14ac:dyDescent="0.25">
      <c r="A16" s="932" t="s">
        <v>2009</v>
      </c>
      <c r="B16" s="214" t="s">
        <v>2017</v>
      </c>
    </row>
  </sheetData>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2"/>
  </sheetPr>
  <dimension ref="A1:X60"/>
  <sheetViews>
    <sheetView showGridLines="0" zoomScale="150" workbookViewId="0">
      <selection activeCell="J17" sqref="J17"/>
    </sheetView>
  </sheetViews>
  <sheetFormatPr baseColWidth="10" defaultRowHeight="13.2" x14ac:dyDescent="0.25"/>
  <cols>
    <col min="1" max="8" width="2.5546875" customWidth="1"/>
    <col min="9" max="9" width="1.44140625" customWidth="1"/>
    <col min="10" max="10" width="13" customWidth="1"/>
    <col min="12" max="12" width="9.88671875" customWidth="1"/>
    <col min="13" max="16" width="2.5546875" customWidth="1"/>
    <col min="17" max="17" width="1" customWidth="1"/>
    <col min="18" max="18" width="12.88671875" customWidth="1"/>
    <col min="19" max="19" width="6.44140625" customWidth="1"/>
    <col min="20" max="20" width="4.5546875" customWidth="1"/>
    <col min="22" max="22" width="3.44140625" style="515" customWidth="1"/>
    <col min="23" max="23" width="3" style="516" customWidth="1"/>
    <col min="24" max="24" width="31.44140625" style="516" customWidth="1"/>
  </cols>
  <sheetData>
    <row r="1" spans="1:24" ht="76.5" customHeight="1" x14ac:dyDescent="0.25"/>
    <row r="2" spans="1:24" ht="17.399999999999999" x14ac:dyDescent="0.3">
      <c r="A2" s="520" t="s">
        <v>679</v>
      </c>
      <c r="B2" s="520"/>
      <c r="C2" s="520"/>
      <c r="D2" s="520"/>
      <c r="E2" s="520"/>
      <c r="F2" s="520"/>
      <c r="G2" s="520"/>
      <c r="H2" s="520"/>
      <c r="I2" s="38"/>
      <c r="J2" s="38"/>
      <c r="V2" s="515">
        <f>LEN(J4)</f>
        <v>8</v>
      </c>
    </row>
    <row r="3" spans="1:24" ht="25.5" customHeight="1" thickBot="1" x14ac:dyDescent="0.3">
      <c r="V3" s="515">
        <f>LEN(J17)</f>
        <v>4</v>
      </c>
    </row>
    <row r="4" spans="1:24" s="1" customFormat="1" ht="15.75" customHeight="1" thickBot="1" x14ac:dyDescent="0.3">
      <c r="H4" s="538" t="s">
        <v>680</v>
      </c>
      <c r="J4" s="1264">
        <f>Wertebereich!U12</f>
        <v>22011001</v>
      </c>
      <c r="K4" s="526"/>
      <c r="L4" s="526"/>
      <c r="M4" s="526"/>
      <c r="N4" s="526"/>
      <c r="O4" s="526"/>
      <c r="P4" s="539" t="s">
        <v>120</v>
      </c>
      <c r="Q4" s="526"/>
      <c r="R4" s="541" t="str">
        <f>CONCATENATE(M7,N8,O9,P10)</f>
        <v>102_</v>
      </c>
      <c r="V4" s="521" t="str">
        <f>MID($J$4,1,1)</f>
        <v>2</v>
      </c>
      <c r="W4" s="521">
        <v>1</v>
      </c>
      <c r="X4" s="521" t="s">
        <v>662</v>
      </c>
    </row>
    <row r="5" spans="1:24" s="1" customFormat="1" ht="8.25" customHeight="1" x14ac:dyDescent="0.25">
      <c r="K5" s="533"/>
      <c r="L5" s="534"/>
      <c r="M5" s="534"/>
      <c r="N5" s="534"/>
      <c r="O5" s="534"/>
      <c r="P5" s="534"/>
      <c r="Q5" s="534"/>
      <c r="R5" s="534"/>
      <c r="S5" s="533"/>
      <c r="V5" s="522"/>
      <c r="W5" s="521">
        <v>2</v>
      </c>
      <c r="X5" s="521" t="s">
        <v>663</v>
      </c>
    </row>
    <row r="6" spans="1:24" s="1" customFormat="1" ht="15.75" customHeight="1" x14ac:dyDescent="0.25">
      <c r="J6" s="12" t="str">
        <f>IF(V2&lt;&gt;8,"8 STELLEN!","")</f>
        <v/>
      </c>
      <c r="L6" s="523"/>
      <c r="M6" s="12"/>
      <c r="N6" s="12"/>
      <c r="O6" s="12"/>
      <c r="P6" s="12"/>
      <c r="Q6" s="523"/>
      <c r="R6" s="523"/>
      <c r="V6" s="522" t="str">
        <f>MID($J$4,2,1)</f>
        <v>2</v>
      </c>
      <c r="W6" s="521">
        <v>1</v>
      </c>
      <c r="X6" s="521" t="s">
        <v>1179</v>
      </c>
    </row>
    <row r="7" spans="1:24" s="1" customFormat="1" ht="15.75" customHeight="1" x14ac:dyDescent="0.25">
      <c r="A7" s="527">
        <f>V4/100*100</f>
        <v>2</v>
      </c>
      <c r="B7" s="527"/>
      <c r="C7" s="527"/>
      <c r="D7" s="527"/>
      <c r="E7" s="527"/>
      <c r="F7" s="527"/>
      <c r="G7" s="527"/>
      <c r="H7" s="527"/>
      <c r="I7" s="524"/>
      <c r="J7" s="1" t="str">
        <f>IF(AND(A7&lt;&gt;1,A7&lt;&gt;2),"ACHTUNG: NUR 1 ODER 2!",VLOOKUP(A7,$W$4:$X$5,2))</f>
        <v>Wartefrist 720 Tage</v>
      </c>
      <c r="M7" s="542">
        <f>E11</f>
        <v>1</v>
      </c>
      <c r="N7" s="531"/>
      <c r="O7" s="531"/>
      <c r="P7" s="531"/>
      <c r="R7" s="1" t="str">
        <f>J11</f>
        <v>A1 (7/10/15/18%)</v>
      </c>
      <c r="V7" s="522"/>
      <c r="W7" s="521">
        <v>2</v>
      </c>
      <c r="X7" s="521" t="s">
        <v>678</v>
      </c>
    </row>
    <row r="8" spans="1:24" s="1" customFormat="1" ht="15.75" customHeight="1" x14ac:dyDescent="0.25">
      <c r="A8" s="528"/>
      <c r="B8" s="527">
        <f>V6/100*100</f>
        <v>2</v>
      </c>
      <c r="C8" s="529"/>
      <c r="D8" s="529"/>
      <c r="E8" s="529"/>
      <c r="F8" s="529"/>
      <c r="G8" s="529"/>
      <c r="H8" s="529"/>
      <c r="I8" s="524"/>
      <c r="J8" s="1" t="str">
        <f>IF(AND(B8&lt;&gt;1,B8&lt;&gt;2,B8&lt;&gt;3),"ACHTUNG: NUR 1 ODER 2!",VLOOKUP(B8,$W$6:$X$8,2))</f>
        <v>R2 (in % versicherter Lohn)</v>
      </c>
      <c r="M8" s="32"/>
      <c r="N8" s="542">
        <f>F12</f>
        <v>0</v>
      </c>
      <c r="O8" s="531"/>
      <c r="P8" s="531"/>
      <c r="Q8" s="525"/>
      <c r="R8" s="1" t="str">
        <f>J12</f>
        <v>ohne Zusatzsparen</v>
      </c>
      <c r="V8" s="522"/>
      <c r="W8" s="521">
        <v>3</v>
      </c>
      <c r="X8" s="521" t="s">
        <v>1448</v>
      </c>
    </row>
    <row r="9" spans="1:24" s="1" customFormat="1" ht="15.75" customHeight="1" x14ac:dyDescent="0.25">
      <c r="A9" s="528"/>
      <c r="B9" s="530"/>
      <c r="C9" s="527">
        <f>V9/100*100</f>
        <v>0</v>
      </c>
      <c r="D9" s="529"/>
      <c r="E9" s="529"/>
      <c r="F9" s="529"/>
      <c r="G9" s="529"/>
      <c r="H9" s="529"/>
      <c r="I9" s="524"/>
      <c r="J9" s="1" t="str">
        <f>IF(AND(C9&lt;&gt;0,C9&lt;&gt;1,C9&lt;&gt;2),"ACHTUNG: NUR 0, 1 ODER 2!",VLOOKUP(C9,$W$9:$X$11,2))</f>
        <v>kein Todesfallkapital</v>
      </c>
      <c r="M9" s="32"/>
      <c r="N9" s="32"/>
      <c r="O9" s="531">
        <f>VLOOKUP(V50,W50:X54,2)</f>
        <v>2</v>
      </c>
      <c r="P9" s="531"/>
      <c r="R9" s="1" t="str">
        <f>VLOOKUP(O9,W42:X46,2)</f>
        <v>R2/720 Tage</v>
      </c>
      <c r="V9" s="522" t="str">
        <f>MID($J$4,3,1)</f>
        <v>0</v>
      </c>
      <c r="W9" s="521">
        <v>0</v>
      </c>
      <c r="X9" s="521" t="s">
        <v>667</v>
      </c>
    </row>
    <row r="10" spans="1:24" s="1" customFormat="1" ht="15.75" customHeight="1" x14ac:dyDescent="0.25">
      <c r="A10" s="528"/>
      <c r="B10" s="530"/>
      <c r="C10" s="530"/>
      <c r="D10" s="527">
        <f>V12/100*100</f>
        <v>1</v>
      </c>
      <c r="E10" s="527"/>
      <c r="F10" s="527"/>
      <c r="G10" s="527"/>
      <c r="H10" s="527"/>
      <c r="I10" s="524"/>
      <c r="J10" s="1" t="str">
        <f>IF(AND(D10&lt;&gt;0,D10&lt;&gt;1),"ACHTUNG: NUR 0 ODER 1!",VLOOKUP(D10,$W$12:$X$13,2))</f>
        <v>Bb gemäss Plan</v>
      </c>
      <c r="M10" s="32"/>
      <c r="N10" s="92"/>
      <c r="O10" s="92"/>
      <c r="P10" s="532" t="s">
        <v>1310</v>
      </c>
      <c r="R10" s="1" t="s">
        <v>121</v>
      </c>
      <c r="V10" s="522"/>
      <c r="W10" s="521">
        <v>1</v>
      </c>
      <c r="X10" s="521" t="s">
        <v>665</v>
      </c>
    </row>
    <row r="11" spans="1:24" s="1" customFormat="1" ht="15.75" customHeight="1" x14ac:dyDescent="0.25">
      <c r="A11" s="528"/>
      <c r="B11" s="530"/>
      <c r="C11" s="530"/>
      <c r="D11" s="530"/>
      <c r="E11" s="527">
        <f>V14/100*100</f>
        <v>1</v>
      </c>
      <c r="F11" s="527"/>
      <c r="G11" s="527"/>
      <c r="H11" s="527"/>
      <c r="I11" s="524"/>
      <c r="J11" s="1" t="str">
        <f>IF(AND(E11&lt;&gt;1,E11&lt;&gt;2,E11&lt;&gt;3,E11&lt;&gt;4,E11&lt;&gt;5),"ACHTUNG: NUR 1–5!",VLOOKUP(E11,$W$14:$X$18,2))</f>
        <v>A1 (7/10/15/18%)</v>
      </c>
      <c r="V11" s="522"/>
      <c r="W11" s="521">
        <v>2</v>
      </c>
      <c r="X11" s="521" t="s">
        <v>666</v>
      </c>
    </row>
    <row r="12" spans="1:24" s="1" customFormat="1" ht="15.75" customHeight="1" x14ac:dyDescent="0.25">
      <c r="A12" s="528"/>
      <c r="B12" s="530"/>
      <c r="C12" s="530"/>
      <c r="D12" s="530"/>
      <c r="E12" s="530"/>
      <c r="F12" s="527">
        <f>V23/100*100</f>
        <v>0</v>
      </c>
      <c r="G12" s="527"/>
      <c r="H12" s="527"/>
      <c r="I12" s="524"/>
      <c r="J12" s="1" t="str">
        <f>IF(AND(F12&lt;&gt;0,F12&lt;&gt;1,F12&lt;&gt;2),"ACHTUNG: NUR 0, 1 ODER 2!",VLOOKUP(F12,$W$23:$X$25,2))</f>
        <v>ohne Zusatzsparen</v>
      </c>
      <c r="V12" s="522" t="str">
        <f>MID($J$4,4,1)</f>
        <v>1</v>
      </c>
      <c r="W12" s="521">
        <v>0</v>
      </c>
      <c r="X12" s="521" t="s">
        <v>668</v>
      </c>
    </row>
    <row r="13" spans="1:24" s="1" customFormat="1" ht="15.75" customHeight="1" x14ac:dyDescent="0.25">
      <c r="A13" s="528"/>
      <c r="B13" s="530"/>
      <c r="C13" s="530"/>
      <c r="D13" s="530"/>
      <c r="E13" s="530"/>
      <c r="F13" s="530"/>
      <c r="G13" s="527">
        <f>V26/100*100</f>
        <v>0</v>
      </c>
      <c r="H13" s="527"/>
      <c r="I13" s="524"/>
      <c r="J13" s="1" t="str">
        <f>IF(G13&lt;&gt;0,"ACHTUNG: IMMER NULL!","(immer Null)")</f>
        <v>(immer Null)</v>
      </c>
      <c r="V13" s="522"/>
      <c r="W13" s="521">
        <v>1</v>
      </c>
      <c r="X13" s="521" t="s">
        <v>669</v>
      </c>
    </row>
    <row r="14" spans="1:24" s="1" customFormat="1" ht="15.75" customHeight="1" x14ac:dyDescent="0.25">
      <c r="A14" s="528"/>
      <c r="B14" s="530"/>
      <c r="C14" s="530"/>
      <c r="D14" s="530"/>
      <c r="E14" s="530"/>
      <c r="F14" s="530"/>
      <c r="G14" s="530"/>
      <c r="H14" s="527">
        <f>V27/100*100</f>
        <v>1</v>
      </c>
      <c r="I14" s="524"/>
      <c r="J14" s="1" t="str">
        <f>IF(AND(H14&lt;&gt;1,H14&lt;&gt;5,H14&lt;&gt;6),"ACHTUNG: NUR 1, 5 ODER 6!",VLOOKUP(H14,$W$27:$X$29,2))</f>
        <v>AN oder SE –50</v>
      </c>
      <c r="V14" s="522" t="str">
        <f>MID($J$4,5,1)</f>
        <v>1</v>
      </c>
      <c r="W14" s="521">
        <v>1</v>
      </c>
      <c r="X14" s="521" t="s">
        <v>1171</v>
      </c>
    </row>
    <row r="15" spans="1:24" s="1" customFormat="1" ht="15.75" customHeight="1" x14ac:dyDescent="0.25">
      <c r="V15" s="522"/>
      <c r="W15" s="521">
        <v>2</v>
      </c>
      <c r="X15" s="521" t="s">
        <v>1172</v>
      </c>
    </row>
    <row r="16" spans="1:24" s="1" customFormat="1" ht="15.75" customHeight="1" thickBot="1" x14ac:dyDescent="0.3">
      <c r="V16" s="522"/>
      <c r="W16" s="521">
        <v>3</v>
      </c>
      <c r="X16" s="521" t="s">
        <v>1173</v>
      </c>
    </row>
    <row r="17" spans="1:24" s="1" customFormat="1" ht="15.75" customHeight="1" thickBot="1" x14ac:dyDescent="0.3">
      <c r="A17" s="526"/>
      <c r="B17" s="526"/>
      <c r="C17" s="526"/>
      <c r="D17" s="526"/>
      <c r="F17" s="526"/>
      <c r="H17" s="537" t="s">
        <v>681</v>
      </c>
      <c r="J17" s="1264" t="str">
        <f>Wertebereich!V10</f>
        <v>102_</v>
      </c>
      <c r="P17" s="539" t="s">
        <v>122</v>
      </c>
      <c r="R17" s="544" t="str">
        <f>CONCATENATE(VLOOKUP(V56,W56:X60,2),"??",E20,F21,0,"?")</f>
        <v>22??100?</v>
      </c>
      <c r="V17" s="522"/>
      <c r="W17" s="521">
        <v>4</v>
      </c>
      <c r="X17" s="521" t="s">
        <v>1174</v>
      </c>
    </row>
    <row r="18" spans="1:24" ht="8.25" customHeight="1" x14ac:dyDescent="0.25">
      <c r="A18" s="534"/>
      <c r="B18" s="534"/>
      <c r="C18" s="534"/>
      <c r="D18" s="534"/>
      <c r="E18" s="534"/>
      <c r="F18" s="534"/>
      <c r="G18" s="534"/>
      <c r="H18" s="533"/>
      <c r="V18" s="522"/>
      <c r="W18" s="521">
        <v>5</v>
      </c>
      <c r="X18" s="521" t="s">
        <v>1175</v>
      </c>
    </row>
    <row r="19" spans="1:24" ht="15.75" customHeight="1" x14ac:dyDescent="0.25">
      <c r="A19" s="523"/>
      <c r="B19" s="12"/>
      <c r="C19" s="12"/>
      <c r="D19" s="12"/>
      <c r="E19" s="12"/>
      <c r="F19" s="523"/>
      <c r="H19" s="1"/>
      <c r="J19" s="523" t="str">
        <f>IF(V3&lt;&gt;4,"4 STELLEN (INKL. _)","")</f>
        <v/>
      </c>
      <c r="V19" s="522"/>
      <c r="W19" s="522">
        <v>6</v>
      </c>
      <c r="X19" s="521" t="s">
        <v>2194</v>
      </c>
    </row>
    <row r="20" spans="1:24" ht="15.75" customHeight="1" x14ac:dyDescent="0.25">
      <c r="A20" s="1"/>
      <c r="B20" s="535"/>
      <c r="C20" s="535"/>
      <c r="D20" s="535"/>
      <c r="E20" s="531">
        <f>V30/100*100</f>
        <v>1</v>
      </c>
      <c r="F20" s="531"/>
      <c r="G20" s="531"/>
      <c r="H20" s="531"/>
      <c r="J20" s="1" t="str">
        <f>IF(AND(E20&lt;&gt;1,E20&lt;&gt;2,E20&lt;&gt;3,E20&lt;&gt;4,E20&lt;&gt;5),"ACHTUNG: NUR 1–5!",VLOOKUP(E20,W30:X34,2))</f>
        <v>A1 (7/10/15/18%)</v>
      </c>
      <c r="V20" s="522"/>
      <c r="W20" s="522">
        <v>7</v>
      </c>
      <c r="X20" s="521" t="s">
        <v>2195</v>
      </c>
    </row>
    <row r="21" spans="1:24" ht="15.75" customHeight="1" x14ac:dyDescent="0.25">
      <c r="A21" s="1"/>
      <c r="B21" s="535"/>
      <c r="C21" s="535"/>
      <c r="D21" s="535"/>
      <c r="E21" s="32"/>
      <c r="F21" s="531">
        <f>V39/100*100</f>
        <v>0</v>
      </c>
      <c r="G21" s="531"/>
      <c r="H21" s="531"/>
      <c r="J21" s="1" t="str">
        <f>IF(AND(F21&lt;&gt;0,F21&lt;&gt;1,F21&lt;&gt;2),"ACHTUNG: NUR 0, 1 ODER 2!",VLOOKUP(F21,W39:X41,2))</f>
        <v>ohne Zusatzsparen</v>
      </c>
      <c r="V21" s="522"/>
      <c r="W21" s="522">
        <v>8</v>
      </c>
      <c r="X21" s="521" t="s">
        <v>2196</v>
      </c>
    </row>
    <row r="22" spans="1:24" ht="15.75" customHeight="1" x14ac:dyDescent="0.25">
      <c r="A22" s="1"/>
      <c r="B22" s="535"/>
      <c r="C22" s="535"/>
      <c r="D22" s="535"/>
      <c r="E22" s="32"/>
      <c r="F22" s="32"/>
      <c r="G22" s="531">
        <f>V42/100*100</f>
        <v>2</v>
      </c>
      <c r="H22" s="531"/>
      <c r="J22" s="1" t="str">
        <f>IF(AND(G22&lt;&gt;1,G22&lt;&gt;2,G22&lt;&gt;5,G22&lt;&gt;6,G22&lt;&gt;7),"ACHTUNG: NUR 1, 2, 5, 6 ODER 7!",VLOOKUP(G22,W42:X46,2))</f>
        <v>R2/720 Tage</v>
      </c>
      <c r="V22" s="522"/>
      <c r="W22" s="522">
        <v>9</v>
      </c>
      <c r="X22" s="521" t="s">
        <v>2197</v>
      </c>
    </row>
    <row r="23" spans="1:24" ht="15.75" customHeight="1" x14ac:dyDescent="0.25">
      <c r="A23" s="1"/>
      <c r="B23" s="535"/>
      <c r="C23" s="536"/>
      <c r="D23" s="536"/>
      <c r="E23" s="32"/>
      <c r="F23" s="92"/>
      <c r="G23" s="92"/>
      <c r="H23" s="540" t="str">
        <f>V47</f>
        <v>_</v>
      </c>
      <c r="J23" s="1" t="str">
        <f>IF(H23&lt;&gt;"_","ACHTUNG: IMMER _!","(immer _)")</f>
        <v>(immer _)</v>
      </c>
      <c r="V23" s="515" t="str">
        <f>MID($J$4,6,1)</f>
        <v>0</v>
      </c>
      <c r="W23" s="516">
        <v>0</v>
      </c>
      <c r="X23" s="516" t="s">
        <v>682</v>
      </c>
    </row>
    <row r="24" spans="1:24" ht="15.75" customHeight="1" x14ac:dyDescent="0.25">
      <c r="W24" s="516">
        <v>1</v>
      </c>
      <c r="X24" s="516" t="s">
        <v>1177</v>
      </c>
    </row>
    <row r="25" spans="1:24" ht="15.75" customHeight="1" x14ac:dyDescent="0.25">
      <c r="W25" s="516">
        <v>2</v>
      </c>
      <c r="X25" s="516" t="s">
        <v>1178</v>
      </c>
    </row>
    <row r="26" spans="1:24" ht="15.75" customHeight="1" x14ac:dyDescent="0.25">
      <c r="V26" s="515" t="str">
        <f>MID($J$4,7,1)</f>
        <v>0</v>
      </c>
      <c r="W26" s="516">
        <v>0</v>
      </c>
      <c r="X26" s="516" t="s">
        <v>670</v>
      </c>
    </row>
    <row r="27" spans="1:24" ht="15.75" customHeight="1" x14ac:dyDescent="0.25">
      <c r="A27" s="1523">
        <f ca="1">TODAY()</f>
        <v>45063</v>
      </c>
      <c r="B27" s="1523"/>
      <c r="C27" s="1523"/>
      <c r="D27" s="1523"/>
      <c r="E27" s="1523"/>
      <c r="F27" s="1523"/>
      <c r="G27" s="1523"/>
      <c r="H27" s="1523"/>
      <c r="I27" s="1523"/>
      <c r="J27" s="1523"/>
      <c r="V27" s="515" t="str">
        <f>MID($J$4,8,1)</f>
        <v>1</v>
      </c>
      <c r="W27" s="516">
        <v>1</v>
      </c>
      <c r="X27" s="516" t="s">
        <v>672</v>
      </c>
    </row>
    <row r="28" spans="1:24" ht="15.75" customHeight="1" x14ac:dyDescent="0.25">
      <c r="A28" s="1259"/>
      <c r="B28" s="1259"/>
      <c r="C28" s="1259"/>
      <c r="D28" s="1259"/>
      <c r="E28" s="1259"/>
      <c r="F28" s="1259"/>
      <c r="G28" s="1259"/>
      <c r="H28" s="1259"/>
      <c r="I28" s="1259"/>
      <c r="J28" s="1259"/>
      <c r="W28" s="516">
        <v>5</v>
      </c>
      <c r="X28" s="516" t="s">
        <v>671</v>
      </c>
    </row>
    <row r="29" spans="1:24" ht="13.8" thickBot="1" x14ac:dyDescent="0.3">
      <c r="V29" s="517"/>
      <c r="W29" s="518">
        <v>6</v>
      </c>
      <c r="X29" s="1263" t="s">
        <v>3745</v>
      </c>
    </row>
    <row r="30" spans="1:24" x14ac:dyDescent="0.25">
      <c r="V30" s="522" t="str">
        <f>MID($J$17,1,1)</f>
        <v>1</v>
      </c>
      <c r="W30" s="521">
        <v>1</v>
      </c>
      <c r="X30" s="521" t="s">
        <v>1171</v>
      </c>
    </row>
    <row r="31" spans="1:24" x14ac:dyDescent="0.25">
      <c r="V31" s="522"/>
      <c r="W31" s="521">
        <v>2</v>
      </c>
      <c r="X31" s="521" t="s">
        <v>1172</v>
      </c>
    </row>
    <row r="32" spans="1:24" x14ac:dyDescent="0.25">
      <c r="V32" s="522"/>
      <c r="W32" s="521">
        <v>3</v>
      </c>
      <c r="X32" s="521" t="s">
        <v>1173</v>
      </c>
    </row>
    <row r="33" spans="22:24" x14ac:dyDescent="0.25">
      <c r="V33" s="522"/>
      <c r="W33" s="521">
        <v>4</v>
      </c>
      <c r="X33" s="521" t="s">
        <v>1174</v>
      </c>
    </row>
    <row r="34" spans="22:24" x14ac:dyDescent="0.25">
      <c r="V34" s="522"/>
      <c r="W34" s="521">
        <v>5</v>
      </c>
      <c r="X34" s="521" t="s">
        <v>1175</v>
      </c>
    </row>
    <row r="35" spans="22:24" x14ac:dyDescent="0.25">
      <c r="V35" s="522"/>
      <c r="W35" s="521">
        <v>6</v>
      </c>
      <c r="X35" s="521" t="s">
        <v>2194</v>
      </c>
    </row>
    <row r="36" spans="22:24" x14ac:dyDescent="0.25">
      <c r="V36" s="522"/>
      <c r="W36" s="521">
        <v>7</v>
      </c>
      <c r="X36" s="521" t="s">
        <v>2195</v>
      </c>
    </row>
    <row r="37" spans="22:24" x14ac:dyDescent="0.25">
      <c r="V37" s="522"/>
      <c r="W37" s="521">
        <v>8</v>
      </c>
      <c r="X37" s="521" t="s">
        <v>2196</v>
      </c>
    </row>
    <row r="38" spans="22:24" x14ac:dyDescent="0.25">
      <c r="V38" s="522"/>
      <c r="W38" s="521">
        <v>9</v>
      </c>
      <c r="X38" s="521" t="s">
        <v>2197</v>
      </c>
    </row>
    <row r="39" spans="22:24" x14ac:dyDescent="0.25">
      <c r="V39" s="515" t="str">
        <f>MID($J$17,2,1)</f>
        <v>0</v>
      </c>
      <c r="W39" s="516">
        <v>0</v>
      </c>
      <c r="X39" s="516" t="s">
        <v>682</v>
      </c>
    </row>
    <row r="40" spans="22:24" x14ac:dyDescent="0.25">
      <c r="W40" s="516">
        <v>1</v>
      </c>
      <c r="X40" s="516" t="s">
        <v>1177</v>
      </c>
    </row>
    <row r="41" spans="22:24" x14ac:dyDescent="0.25">
      <c r="W41" s="516">
        <v>2</v>
      </c>
      <c r="X41" s="516" t="s">
        <v>1178</v>
      </c>
    </row>
    <row r="42" spans="22:24" x14ac:dyDescent="0.25">
      <c r="V42" s="515" t="str">
        <f>MID($J$17,3,1)</f>
        <v>2</v>
      </c>
      <c r="W42" s="516">
        <v>1</v>
      </c>
      <c r="X42" s="519" t="s">
        <v>674</v>
      </c>
    </row>
    <row r="43" spans="22:24" x14ac:dyDescent="0.25">
      <c r="W43" s="516">
        <v>2</v>
      </c>
      <c r="X43" s="519" t="s">
        <v>675</v>
      </c>
    </row>
    <row r="44" spans="22:24" x14ac:dyDescent="0.25">
      <c r="W44" s="516">
        <v>5</v>
      </c>
      <c r="X44" s="519" t="s">
        <v>676</v>
      </c>
    </row>
    <row r="45" spans="22:24" x14ac:dyDescent="0.25">
      <c r="W45" s="516">
        <v>6</v>
      </c>
      <c r="X45" s="519" t="s">
        <v>677</v>
      </c>
    </row>
    <row r="46" spans="22:24" x14ac:dyDescent="0.25">
      <c r="W46" s="516">
        <v>7</v>
      </c>
      <c r="X46" s="516" t="s">
        <v>1448</v>
      </c>
    </row>
    <row r="47" spans="22:24" x14ac:dyDescent="0.25">
      <c r="V47" s="515" t="str">
        <f>MID($J$17,4,1)</f>
        <v>_</v>
      </c>
      <c r="X47" s="516" t="s">
        <v>673</v>
      </c>
    </row>
    <row r="49" spans="22:24" x14ac:dyDescent="0.25">
      <c r="V49" s="515" t="str">
        <f>LEFT(J4,2)</f>
        <v>22</v>
      </c>
    </row>
    <row r="50" spans="22:24" x14ac:dyDescent="0.25">
      <c r="V50" s="515">
        <f>V49/100*100</f>
        <v>22</v>
      </c>
      <c r="W50" s="516">
        <v>11</v>
      </c>
      <c r="X50" s="543">
        <v>5</v>
      </c>
    </row>
    <row r="51" spans="22:24" x14ac:dyDescent="0.25">
      <c r="W51" s="516">
        <v>12</v>
      </c>
      <c r="X51" s="543">
        <v>6</v>
      </c>
    </row>
    <row r="52" spans="22:24" x14ac:dyDescent="0.25">
      <c r="W52" s="516">
        <v>13</v>
      </c>
      <c r="X52" s="543">
        <v>7</v>
      </c>
    </row>
    <row r="53" spans="22:24" x14ac:dyDescent="0.25">
      <c r="W53" s="516">
        <v>21</v>
      </c>
      <c r="X53" s="543">
        <v>1</v>
      </c>
    </row>
    <row r="54" spans="22:24" x14ac:dyDescent="0.25">
      <c r="W54" s="516">
        <v>22</v>
      </c>
      <c r="X54" s="543">
        <v>2</v>
      </c>
    </row>
    <row r="55" spans="22:24" x14ac:dyDescent="0.25">
      <c r="V55" s="515" t="str">
        <f>MID(J17,3,1)</f>
        <v>2</v>
      </c>
    </row>
    <row r="56" spans="22:24" x14ac:dyDescent="0.25">
      <c r="V56" s="515">
        <f>V55/100*100</f>
        <v>2</v>
      </c>
      <c r="W56" s="516">
        <v>1</v>
      </c>
      <c r="X56" s="543">
        <v>21</v>
      </c>
    </row>
    <row r="57" spans="22:24" x14ac:dyDescent="0.25">
      <c r="W57" s="516">
        <v>2</v>
      </c>
      <c r="X57" s="543">
        <v>22</v>
      </c>
    </row>
    <row r="58" spans="22:24" x14ac:dyDescent="0.25">
      <c r="W58" s="516">
        <v>5</v>
      </c>
      <c r="X58" s="543">
        <v>11</v>
      </c>
    </row>
    <row r="59" spans="22:24" x14ac:dyDescent="0.25">
      <c r="W59" s="516">
        <v>6</v>
      </c>
      <c r="X59" s="543">
        <v>12</v>
      </c>
    </row>
    <row r="60" spans="22:24" x14ac:dyDescent="0.25">
      <c r="W60" s="516">
        <v>7</v>
      </c>
      <c r="X60" s="543">
        <v>13</v>
      </c>
    </row>
  </sheetData>
  <sheetProtection password="DCF3" sheet="1" objects="1" scenarios="1" selectLockedCells="1"/>
  <mergeCells count="1">
    <mergeCell ref="A27:J27"/>
  </mergeCells>
  <phoneticPr fontId="2" type="noConversion"/>
  <conditionalFormatting sqref="A7:J14">
    <cfRule type="expression" dxfId="3" priority="1" stopIfTrue="1">
      <formula>$V$2&lt;&gt;8</formula>
    </cfRule>
  </conditionalFormatting>
  <conditionalFormatting sqref="B20:H23 J20:J23">
    <cfRule type="expression" dxfId="2" priority="2" stopIfTrue="1">
      <formula>$V$3&lt;&gt;4</formula>
    </cfRule>
  </conditionalFormatting>
  <conditionalFormatting sqref="L4:S11">
    <cfRule type="expression" dxfId="1" priority="3" stopIfTrue="1">
      <formula>$J$6&lt;&gt;""</formula>
    </cfRule>
  </conditionalFormatting>
  <conditionalFormatting sqref="L17:S17">
    <cfRule type="expression" dxfId="0" priority="4" stopIfTrue="1">
      <formula>$J$19&lt;&gt;""</formula>
    </cfRule>
  </conditionalFormatting>
  <pageMargins left="0.78740157480314965" right="0.39370078740157483" top="0.39370078740157483" bottom="0.39370078740157483" header="0.51181102362204722" footer="0.51181102362204722"/>
  <pageSetup paperSize="9" orientation="portrait" r:id="rId1"/>
  <headerFooter alignWithMargins="0"/>
  <customProperties>
    <customPr name="SSCSheetTrackingNo" r:id="rId2"/>
  </customPropertie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sheetPr>
  <dimension ref="A1:L1391"/>
  <sheetViews>
    <sheetView topLeftCell="A8" zoomScale="125" workbookViewId="0"/>
  </sheetViews>
  <sheetFormatPr baseColWidth="10" defaultColWidth="12.5546875" defaultRowHeight="10.199999999999999" x14ac:dyDescent="0.2"/>
  <cols>
    <col min="1" max="1" width="9.5546875" style="618" customWidth="1"/>
    <col min="2" max="9" width="3.109375" style="591" customWidth="1"/>
    <col min="10" max="16384" width="12.5546875" style="591"/>
  </cols>
  <sheetData>
    <row r="1" spans="1:12" ht="21.6" customHeight="1" x14ac:dyDescent="0.3">
      <c r="A1" s="38" t="s">
        <v>1302</v>
      </c>
      <c r="B1" s="590"/>
    </row>
    <row r="2" spans="1:12" ht="21.6" customHeight="1" thickBot="1" x14ac:dyDescent="0.35">
      <c r="A2" s="38"/>
      <c r="B2" s="590"/>
    </row>
    <row r="3" spans="1:12" ht="11.4" thickTop="1" thickBot="1" x14ac:dyDescent="0.25">
      <c r="A3" s="592">
        <v>1</v>
      </c>
      <c r="B3" s="593">
        <v>1</v>
      </c>
      <c r="C3" s="594"/>
      <c r="D3" s="594"/>
      <c r="E3" s="594"/>
      <c r="F3" s="594"/>
      <c r="G3" s="595"/>
      <c r="H3" s="594"/>
      <c r="I3" s="594"/>
      <c r="J3" s="594"/>
      <c r="K3" s="596" t="s">
        <v>1495</v>
      </c>
      <c r="L3" s="594"/>
    </row>
    <row r="4" spans="1:12" s="599" customFormat="1" ht="11.4" thickTop="1" thickBot="1" x14ac:dyDescent="0.25">
      <c r="A4" s="592">
        <v>2</v>
      </c>
      <c r="B4" s="597"/>
      <c r="C4" s="598">
        <v>0</v>
      </c>
      <c r="D4" s="594"/>
      <c r="E4" s="594"/>
      <c r="F4" s="594"/>
      <c r="G4" s="595"/>
      <c r="H4" s="594"/>
      <c r="I4" s="594"/>
      <c r="J4" s="594"/>
      <c r="K4" s="596" t="s">
        <v>1496</v>
      </c>
      <c r="L4" s="594"/>
    </row>
    <row r="5" spans="1:12" ht="11.4" thickTop="1" thickBot="1" x14ac:dyDescent="0.25">
      <c r="A5" s="592">
        <v>3</v>
      </c>
      <c r="B5" s="597"/>
      <c r="C5" s="594"/>
      <c r="D5" s="600">
        <v>1</v>
      </c>
      <c r="E5" s="601"/>
      <c r="F5" s="594"/>
      <c r="G5" s="595"/>
      <c r="H5" s="594"/>
      <c r="I5" s="594"/>
      <c r="J5" s="594"/>
      <c r="K5" s="596" t="s">
        <v>1497</v>
      </c>
      <c r="L5" s="594"/>
    </row>
    <row r="6" spans="1:12" ht="11.4" thickTop="1" thickBot="1" x14ac:dyDescent="0.25">
      <c r="A6" s="592">
        <v>4</v>
      </c>
      <c r="B6" s="597"/>
      <c r="C6" s="594"/>
      <c r="D6" s="594"/>
      <c r="E6" s="602">
        <v>1</v>
      </c>
      <c r="F6" s="603"/>
      <c r="G6" s="595"/>
      <c r="H6" s="594"/>
      <c r="I6" s="594"/>
      <c r="J6" s="594"/>
      <c r="K6" s="596" t="s">
        <v>1498</v>
      </c>
      <c r="L6" s="594"/>
    </row>
    <row r="7" spans="1:12" ht="11.4" thickTop="1" thickBot="1" x14ac:dyDescent="0.25">
      <c r="A7" s="592">
        <v>5</v>
      </c>
      <c r="B7" s="597"/>
      <c r="C7" s="594"/>
      <c r="D7" s="594"/>
      <c r="E7" s="594"/>
      <c r="F7" s="604">
        <v>2</v>
      </c>
      <c r="G7" s="605"/>
      <c r="H7" s="594"/>
      <c r="I7" s="594"/>
      <c r="J7" s="594"/>
      <c r="K7" s="596" t="s">
        <v>3739</v>
      </c>
      <c r="L7" s="594"/>
    </row>
    <row r="8" spans="1:12" ht="11.4" thickTop="1" thickBot="1" x14ac:dyDescent="0.25">
      <c r="A8" s="592">
        <v>6</v>
      </c>
      <c r="B8" s="597"/>
      <c r="C8" s="594"/>
      <c r="D8" s="594"/>
      <c r="E8" s="594"/>
      <c r="F8" s="594"/>
      <c r="G8" s="606">
        <v>2</v>
      </c>
      <c r="H8" s="603"/>
      <c r="I8" s="601"/>
      <c r="J8" s="601"/>
      <c r="K8" s="596" t="s">
        <v>1499</v>
      </c>
      <c r="L8" s="594"/>
    </row>
    <row r="9" spans="1:12" ht="11.4" thickTop="1" thickBot="1" x14ac:dyDescent="0.25">
      <c r="A9" s="592">
        <v>7</v>
      </c>
      <c r="B9" s="597"/>
      <c r="C9" s="594"/>
      <c r="D9" s="594"/>
      <c r="E9" s="594"/>
      <c r="F9" s="594"/>
      <c r="G9" s="595"/>
      <c r="H9" s="607">
        <v>5</v>
      </c>
      <c r="I9" s="603"/>
      <c r="J9" s="594"/>
      <c r="K9" s="596" t="s">
        <v>1500</v>
      </c>
      <c r="L9" s="608"/>
    </row>
    <row r="10" spans="1:12" ht="11.4" thickTop="1" thickBot="1" x14ac:dyDescent="0.25">
      <c r="A10" s="592">
        <v>8</v>
      </c>
      <c r="B10" s="597"/>
      <c r="C10" s="594"/>
      <c r="D10" s="594"/>
      <c r="E10" s="594"/>
      <c r="F10" s="594"/>
      <c r="G10" s="595"/>
      <c r="H10" s="594"/>
      <c r="I10" s="609">
        <v>1</v>
      </c>
      <c r="J10" s="610"/>
      <c r="K10" s="596" t="s">
        <v>3746</v>
      </c>
      <c r="L10" s="601"/>
    </row>
    <row r="11" spans="1:12" ht="10.8" thickTop="1" x14ac:dyDescent="0.2">
      <c r="A11" s="611" t="s">
        <v>1232</v>
      </c>
      <c r="B11" s="611" t="s">
        <v>1233</v>
      </c>
      <c r="C11" s="612"/>
      <c r="D11" s="612"/>
      <c r="E11" s="612"/>
      <c r="F11" s="612"/>
      <c r="G11" s="613"/>
      <c r="H11" s="612"/>
      <c r="I11" s="614"/>
      <c r="J11" s="614"/>
      <c r="K11" s="615"/>
      <c r="L11" s="601"/>
    </row>
    <row r="12" spans="1:12" x14ac:dyDescent="0.2">
      <c r="A12" s="612">
        <v>11011001</v>
      </c>
      <c r="B12" s="616" t="s">
        <v>1234</v>
      </c>
      <c r="C12" s="617"/>
      <c r="D12" s="617"/>
      <c r="E12" s="612"/>
      <c r="F12" s="612"/>
      <c r="G12" s="613"/>
      <c r="H12" s="612"/>
      <c r="I12" s="614"/>
      <c r="J12" s="614"/>
      <c r="K12" s="615"/>
      <c r="L12" s="601"/>
    </row>
    <row r="13" spans="1:12" x14ac:dyDescent="0.2">
      <c r="A13" s="612">
        <v>11011005</v>
      </c>
      <c r="B13" s="616" t="s">
        <v>1235</v>
      </c>
      <c r="C13" s="617"/>
      <c r="D13" s="617"/>
      <c r="E13" s="612"/>
      <c r="F13" s="612"/>
      <c r="G13" s="613"/>
      <c r="H13" s="612"/>
      <c r="I13" s="614"/>
      <c r="J13" s="614"/>
      <c r="K13" s="615"/>
      <c r="L13" s="601"/>
    </row>
    <row r="14" spans="1:12" x14ac:dyDescent="0.2">
      <c r="A14" s="612">
        <v>21011001</v>
      </c>
      <c r="B14" s="616" t="s">
        <v>1236</v>
      </c>
      <c r="C14" s="617"/>
      <c r="D14" s="617"/>
      <c r="E14" s="612"/>
      <c r="F14" s="612"/>
      <c r="G14" s="613"/>
      <c r="H14" s="612"/>
      <c r="I14" s="614"/>
      <c r="J14" s="614"/>
      <c r="K14" s="615"/>
      <c r="L14" s="601"/>
    </row>
    <row r="15" spans="1:12" x14ac:dyDescent="0.2">
      <c r="A15" s="612">
        <v>21011005</v>
      </c>
      <c r="B15" s="616" t="s">
        <v>1237</v>
      </c>
      <c r="C15" s="617"/>
      <c r="D15" s="617"/>
      <c r="E15" s="612"/>
      <c r="F15" s="612"/>
      <c r="G15" s="613"/>
      <c r="H15" s="612"/>
      <c r="I15" s="614"/>
      <c r="J15" s="614"/>
      <c r="K15" s="615"/>
      <c r="L15" s="601"/>
    </row>
    <row r="16" spans="1:12" x14ac:dyDescent="0.2">
      <c r="A16" s="592"/>
      <c r="B16" s="597"/>
      <c r="C16" s="594"/>
      <c r="D16" s="594"/>
      <c r="E16" s="594"/>
      <c r="F16" s="594"/>
      <c r="G16" s="595"/>
      <c r="H16" s="594"/>
      <c r="I16" s="601"/>
      <c r="J16" s="601"/>
      <c r="K16" s="596"/>
      <c r="L16" s="601"/>
    </row>
    <row r="17" spans="1:12" x14ac:dyDescent="0.2">
      <c r="B17" s="619"/>
    </row>
    <row r="18" spans="1:12" x14ac:dyDescent="0.2">
      <c r="A18" s="620" t="s">
        <v>1501</v>
      </c>
      <c r="B18" s="621" t="s">
        <v>1502</v>
      </c>
      <c r="C18" s="599"/>
      <c r="D18" s="599"/>
      <c r="E18" s="599"/>
      <c r="F18" s="599"/>
      <c r="G18" s="599"/>
      <c r="H18" s="599"/>
      <c r="I18" s="599"/>
      <c r="J18" s="599"/>
      <c r="K18" s="599"/>
      <c r="L18" s="599"/>
    </row>
    <row r="19" spans="1:12" x14ac:dyDescent="0.2">
      <c r="A19" s="622" t="s">
        <v>1503</v>
      </c>
      <c r="B19" s="591" t="s">
        <v>1504</v>
      </c>
    </row>
    <row r="20" spans="1:12" x14ac:dyDescent="0.2">
      <c r="A20" s="622" t="s">
        <v>1505</v>
      </c>
      <c r="B20" s="591" t="s">
        <v>1506</v>
      </c>
    </row>
    <row r="21" spans="1:12" x14ac:dyDescent="0.2">
      <c r="A21" s="622" t="s">
        <v>1507</v>
      </c>
      <c r="B21" s="591" t="s">
        <v>1508</v>
      </c>
    </row>
    <row r="22" spans="1:12" x14ac:dyDescent="0.2">
      <c r="A22" s="622" t="s">
        <v>1509</v>
      </c>
      <c r="B22" s="591" t="s">
        <v>1510</v>
      </c>
    </row>
    <row r="23" spans="1:12" x14ac:dyDescent="0.2">
      <c r="A23" s="622" t="s">
        <v>1511</v>
      </c>
      <c r="B23" s="591" t="s">
        <v>1513</v>
      </c>
    </row>
    <row r="24" spans="1:12" x14ac:dyDescent="0.2">
      <c r="A24" s="622" t="s">
        <v>1514</v>
      </c>
      <c r="B24" s="591" t="s">
        <v>1515</v>
      </c>
    </row>
    <row r="25" spans="1:12" x14ac:dyDescent="0.2">
      <c r="A25" s="622" t="s">
        <v>1516</v>
      </c>
      <c r="B25" s="591" t="s">
        <v>1517</v>
      </c>
    </row>
    <row r="26" spans="1:12" x14ac:dyDescent="0.2">
      <c r="A26" s="622" t="s">
        <v>1518</v>
      </c>
      <c r="B26" s="591" t="s">
        <v>1519</v>
      </c>
    </row>
    <row r="27" spans="1:12" x14ac:dyDescent="0.2">
      <c r="A27" s="622" t="s">
        <v>1520</v>
      </c>
      <c r="B27" s="591" t="s">
        <v>1521</v>
      </c>
    </row>
    <row r="28" spans="1:12" x14ac:dyDescent="0.2">
      <c r="A28" s="622" t="s">
        <v>1522</v>
      </c>
      <c r="B28" s="591" t="s">
        <v>1523</v>
      </c>
    </row>
    <row r="29" spans="1:12" x14ac:dyDescent="0.2">
      <c r="A29" s="622" t="s">
        <v>1524</v>
      </c>
      <c r="B29" s="591" t="s">
        <v>1525</v>
      </c>
    </row>
    <row r="30" spans="1:12" x14ac:dyDescent="0.2">
      <c r="A30" s="622" t="s">
        <v>1526</v>
      </c>
      <c r="B30" s="591" t="s">
        <v>1527</v>
      </c>
    </row>
    <row r="31" spans="1:12" x14ac:dyDescent="0.2">
      <c r="A31" s="622" t="s">
        <v>1528</v>
      </c>
      <c r="B31" s="591" t="s">
        <v>1529</v>
      </c>
    </row>
    <row r="32" spans="1:12" x14ac:dyDescent="0.2">
      <c r="A32" s="622" t="s">
        <v>1530</v>
      </c>
      <c r="B32" s="591" t="s">
        <v>1531</v>
      </c>
    </row>
    <row r="33" spans="1:2" x14ac:dyDescent="0.2">
      <c r="A33" s="622" t="s">
        <v>1532</v>
      </c>
      <c r="B33" s="591" t="s">
        <v>1533</v>
      </c>
    </row>
    <row r="34" spans="1:2" x14ac:dyDescent="0.2">
      <c r="A34" s="622" t="s">
        <v>1534</v>
      </c>
      <c r="B34" s="591" t="s">
        <v>1535</v>
      </c>
    </row>
    <row r="35" spans="1:2" x14ac:dyDescent="0.2">
      <c r="A35" s="622" t="s">
        <v>1536</v>
      </c>
      <c r="B35" s="591" t="s">
        <v>1537</v>
      </c>
    </row>
    <row r="36" spans="1:2" x14ac:dyDescent="0.2">
      <c r="A36" s="622" t="s">
        <v>1538</v>
      </c>
      <c r="B36" s="591" t="s">
        <v>1539</v>
      </c>
    </row>
    <row r="37" spans="1:2" x14ac:dyDescent="0.2">
      <c r="A37" s="622" t="s">
        <v>1540</v>
      </c>
      <c r="B37" s="591" t="s">
        <v>1541</v>
      </c>
    </row>
    <row r="38" spans="1:2" x14ac:dyDescent="0.2">
      <c r="A38" s="622" t="s">
        <v>1542</v>
      </c>
      <c r="B38" s="591" t="s">
        <v>1543</v>
      </c>
    </row>
    <row r="39" spans="1:2" x14ac:dyDescent="0.2">
      <c r="A39" s="622" t="s">
        <v>1544</v>
      </c>
      <c r="B39" s="591" t="s">
        <v>1545</v>
      </c>
    </row>
    <row r="40" spans="1:2" x14ac:dyDescent="0.2">
      <c r="A40" s="622" t="s">
        <v>1546</v>
      </c>
      <c r="B40" s="591" t="s">
        <v>1547</v>
      </c>
    </row>
    <row r="41" spans="1:2" x14ac:dyDescent="0.2">
      <c r="A41" s="622" t="s">
        <v>1548</v>
      </c>
      <c r="B41" s="591" t="s">
        <v>1549</v>
      </c>
    </row>
    <row r="42" spans="1:2" x14ac:dyDescent="0.2">
      <c r="A42" s="622" t="s">
        <v>1550</v>
      </c>
      <c r="B42" s="591" t="s">
        <v>1551</v>
      </c>
    </row>
    <row r="43" spans="1:2" x14ac:dyDescent="0.2">
      <c r="A43" s="623" t="s">
        <v>1552</v>
      </c>
      <c r="B43" s="624" t="s">
        <v>1553</v>
      </c>
    </row>
    <row r="44" spans="1:2" x14ac:dyDescent="0.2">
      <c r="A44" s="623" t="s">
        <v>1554</v>
      </c>
      <c r="B44" s="624" t="s">
        <v>1555</v>
      </c>
    </row>
    <row r="45" spans="1:2" x14ac:dyDescent="0.2">
      <c r="A45" s="622" t="s">
        <v>1556</v>
      </c>
      <c r="B45" s="591" t="s">
        <v>1557</v>
      </c>
    </row>
    <row r="46" spans="1:2" x14ac:dyDescent="0.2">
      <c r="A46" s="622" t="s">
        <v>1559</v>
      </c>
      <c r="B46" s="591" t="s">
        <v>1560</v>
      </c>
    </row>
    <row r="47" spans="1:2" x14ac:dyDescent="0.2">
      <c r="A47" s="622" t="s">
        <v>1561</v>
      </c>
      <c r="B47" s="591" t="s">
        <v>1557</v>
      </c>
    </row>
    <row r="48" spans="1:2" x14ac:dyDescent="0.2">
      <c r="A48" s="622" t="s">
        <v>1562</v>
      </c>
      <c r="B48" s="591" t="s">
        <v>1560</v>
      </c>
    </row>
    <row r="49" spans="1:2" x14ac:dyDescent="0.2">
      <c r="A49" s="622" t="s">
        <v>1563</v>
      </c>
      <c r="B49" s="591" t="s">
        <v>1564</v>
      </c>
    </row>
    <row r="50" spans="1:2" x14ac:dyDescent="0.2">
      <c r="A50" s="622" t="s">
        <v>1565</v>
      </c>
      <c r="B50" s="591" t="s">
        <v>1566</v>
      </c>
    </row>
    <row r="51" spans="1:2" x14ac:dyDescent="0.2">
      <c r="A51" s="622" t="s">
        <v>1567</v>
      </c>
      <c r="B51" s="591" t="s">
        <v>1564</v>
      </c>
    </row>
    <row r="52" spans="1:2" x14ac:dyDescent="0.2">
      <c r="A52" s="622" t="s">
        <v>1568</v>
      </c>
      <c r="B52" s="591" t="s">
        <v>1566</v>
      </c>
    </row>
    <row r="53" spans="1:2" x14ac:dyDescent="0.2">
      <c r="A53" s="622" t="s">
        <v>1569</v>
      </c>
      <c r="B53" s="591" t="s">
        <v>1570</v>
      </c>
    </row>
    <row r="54" spans="1:2" x14ac:dyDescent="0.2">
      <c r="A54" s="622" t="s">
        <v>1571</v>
      </c>
      <c r="B54" s="591" t="s">
        <v>1572</v>
      </c>
    </row>
    <row r="55" spans="1:2" x14ac:dyDescent="0.2">
      <c r="A55" s="622" t="s">
        <v>1573</v>
      </c>
      <c r="B55" s="591" t="s">
        <v>1570</v>
      </c>
    </row>
    <row r="56" spans="1:2" x14ac:dyDescent="0.2">
      <c r="A56" s="622" t="s">
        <v>1574</v>
      </c>
      <c r="B56" s="591" t="s">
        <v>1572</v>
      </c>
    </row>
    <row r="57" spans="1:2" x14ac:dyDescent="0.2">
      <c r="A57" s="622" t="s">
        <v>1575</v>
      </c>
      <c r="B57" s="591" t="s">
        <v>1576</v>
      </c>
    </row>
    <row r="58" spans="1:2" x14ac:dyDescent="0.2">
      <c r="A58" s="622" t="s">
        <v>1577</v>
      </c>
      <c r="B58" s="591" t="s">
        <v>1578</v>
      </c>
    </row>
    <row r="59" spans="1:2" x14ac:dyDescent="0.2">
      <c r="A59" s="622" t="s">
        <v>1579</v>
      </c>
      <c r="B59" s="591" t="s">
        <v>1576</v>
      </c>
    </row>
    <row r="60" spans="1:2" x14ac:dyDescent="0.2">
      <c r="A60" s="622" t="s">
        <v>1580</v>
      </c>
      <c r="B60" s="591" t="s">
        <v>1578</v>
      </c>
    </row>
    <row r="61" spans="1:2" x14ac:dyDescent="0.2">
      <c r="A61" s="622" t="s">
        <v>1581</v>
      </c>
      <c r="B61" s="591" t="s">
        <v>1588</v>
      </c>
    </row>
    <row r="62" spans="1:2" x14ac:dyDescent="0.2">
      <c r="A62" s="622" t="s">
        <v>1589</v>
      </c>
      <c r="B62" s="591" t="s">
        <v>1590</v>
      </c>
    </row>
    <row r="63" spans="1:2" x14ac:dyDescent="0.2">
      <c r="A63" s="622" t="s">
        <v>1591</v>
      </c>
      <c r="B63" s="591" t="s">
        <v>1588</v>
      </c>
    </row>
    <row r="64" spans="1:2" x14ac:dyDescent="0.2">
      <c r="A64" s="622" t="s">
        <v>1592</v>
      </c>
      <c r="B64" s="591" t="s">
        <v>1590</v>
      </c>
    </row>
    <row r="65" spans="1:2" x14ac:dyDescent="0.2">
      <c r="A65" s="622" t="s">
        <v>1593</v>
      </c>
      <c r="B65" s="591" t="s">
        <v>1594</v>
      </c>
    </row>
    <row r="66" spans="1:2" x14ac:dyDescent="0.2">
      <c r="A66" s="622" t="s">
        <v>1595</v>
      </c>
      <c r="B66" s="591" t="s">
        <v>1596</v>
      </c>
    </row>
    <row r="67" spans="1:2" x14ac:dyDescent="0.2">
      <c r="A67" s="622" t="s">
        <v>1597</v>
      </c>
      <c r="B67" s="591" t="s">
        <v>1594</v>
      </c>
    </row>
    <row r="68" spans="1:2" x14ac:dyDescent="0.2">
      <c r="A68" s="622" t="s">
        <v>1598</v>
      </c>
      <c r="B68" s="591" t="s">
        <v>1596</v>
      </c>
    </row>
    <row r="69" spans="1:2" x14ac:dyDescent="0.2">
      <c r="A69" s="622" t="s">
        <v>1599</v>
      </c>
      <c r="B69" s="591" t="s">
        <v>1625</v>
      </c>
    </row>
    <row r="70" spans="1:2" x14ac:dyDescent="0.2">
      <c r="A70" s="622" t="s">
        <v>1626</v>
      </c>
      <c r="B70" s="591" t="s">
        <v>1627</v>
      </c>
    </row>
    <row r="71" spans="1:2" x14ac:dyDescent="0.2">
      <c r="A71" s="622" t="s">
        <v>1628</v>
      </c>
      <c r="B71" s="591" t="s">
        <v>1625</v>
      </c>
    </row>
    <row r="72" spans="1:2" x14ac:dyDescent="0.2">
      <c r="A72" s="622" t="s">
        <v>1629</v>
      </c>
      <c r="B72" s="591" t="s">
        <v>1627</v>
      </c>
    </row>
    <row r="73" spans="1:2" x14ac:dyDescent="0.2">
      <c r="A73" s="622" t="s">
        <v>1630</v>
      </c>
      <c r="B73" s="591" t="s">
        <v>1631</v>
      </c>
    </row>
    <row r="74" spans="1:2" x14ac:dyDescent="0.2">
      <c r="A74" s="622" t="s">
        <v>1632</v>
      </c>
      <c r="B74" s="591" t="s">
        <v>1633</v>
      </c>
    </row>
    <row r="75" spans="1:2" x14ac:dyDescent="0.2">
      <c r="A75" s="622" t="s">
        <v>1681</v>
      </c>
      <c r="B75" s="591" t="s">
        <v>1631</v>
      </c>
    </row>
    <row r="76" spans="1:2" x14ac:dyDescent="0.2">
      <c r="A76" s="622" t="s">
        <v>1682</v>
      </c>
      <c r="B76" s="591" t="s">
        <v>1633</v>
      </c>
    </row>
    <row r="77" spans="1:2" x14ac:dyDescent="0.2">
      <c r="A77" s="622" t="s">
        <v>1683</v>
      </c>
      <c r="B77" s="591" t="s">
        <v>1684</v>
      </c>
    </row>
    <row r="78" spans="1:2" x14ac:dyDescent="0.2">
      <c r="A78" s="622" t="s">
        <v>1685</v>
      </c>
      <c r="B78" s="591" t="s">
        <v>1692</v>
      </c>
    </row>
    <row r="79" spans="1:2" x14ac:dyDescent="0.2">
      <c r="A79" s="622" t="s">
        <v>1693</v>
      </c>
      <c r="B79" s="591" t="s">
        <v>1684</v>
      </c>
    </row>
    <row r="80" spans="1:2" x14ac:dyDescent="0.2">
      <c r="A80" s="622" t="s">
        <v>1694</v>
      </c>
      <c r="B80" s="591" t="s">
        <v>1692</v>
      </c>
    </row>
    <row r="81" spans="1:2" x14ac:dyDescent="0.2">
      <c r="A81" s="622" t="s">
        <v>1695</v>
      </c>
      <c r="B81" s="591" t="s">
        <v>1696</v>
      </c>
    </row>
    <row r="82" spans="1:2" x14ac:dyDescent="0.2">
      <c r="A82" s="622" t="s">
        <v>1697</v>
      </c>
      <c r="B82" s="591" t="s">
        <v>1698</v>
      </c>
    </row>
    <row r="83" spans="1:2" x14ac:dyDescent="0.2">
      <c r="A83" s="622" t="s">
        <v>1699</v>
      </c>
      <c r="B83" s="591" t="s">
        <v>1696</v>
      </c>
    </row>
    <row r="84" spans="1:2" x14ac:dyDescent="0.2">
      <c r="A84" s="622" t="s">
        <v>1700</v>
      </c>
      <c r="B84" s="591" t="s">
        <v>1698</v>
      </c>
    </row>
    <row r="85" spans="1:2" x14ac:dyDescent="0.2">
      <c r="A85" s="622" t="s">
        <v>1701</v>
      </c>
      <c r="B85" s="591" t="s">
        <v>1702</v>
      </c>
    </row>
    <row r="86" spans="1:2" x14ac:dyDescent="0.2">
      <c r="A86" s="622" t="s">
        <v>1703</v>
      </c>
      <c r="B86" s="591" t="s">
        <v>1704</v>
      </c>
    </row>
    <row r="87" spans="1:2" x14ac:dyDescent="0.2">
      <c r="A87" s="622" t="s">
        <v>1705</v>
      </c>
      <c r="B87" s="591" t="s">
        <v>1702</v>
      </c>
    </row>
    <row r="88" spans="1:2" x14ac:dyDescent="0.2">
      <c r="A88" s="622" t="s">
        <v>1706</v>
      </c>
      <c r="B88" s="591" t="s">
        <v>1704</v>
      </c>
    </row>
    <row r="89" spans="1:2" x14ac:dyDescent="0.2">
      <c r="A89" s="622" t="s">
        <v>1707</v>
      </c>
      <c r="B89" s="591" t="s">
        <v>1708</v>
      </c>
    </row>
    <row r="90" spans="1:2" x14ac:dyDescent="0.2">
      <c r="A90" s="622" t="s">
        <v>1709</v>
      </c>
      <c r="B90" s="591" t="s">
        <v>1710</v>
      </c>
    </row>
    <row r="91" spans="1:2" x14ac:dyDescent="0.2">
      <c r="A91" s="622" t="s">
        <v>1711</v>
      </c>
      <c r="B91" s="591" t="s">
        <v>1708</v>
      </c>
    </row>
    <row r="92" spans="1:2" x14ac:dyDescent="0.2">
      <c r="A92" s="622" t="s">
        <v>1712</v>
      </c>
      <c r="B92" s="591" t="s">
        <v>1710</v>
      </c>
    </row>
    <row r="93" spans="1:2" x14ac:dyDescent="0.2">
      <c r="A93" s="623" t="s">
        <v>1713</v>
      </c>
      <c r="B93" s="624" t="s">
        <v>1714</v>
      </c>
    </row>
    <row r="94" spans="1:2" x14ac:dyDescent="0.2">
      <c r="A94" s="623" t="s">
        <v>1715</v>
      </c>
      <c r="B94" s="624" t="s">
        <v>1716</v>
      </c>
    </row>
    <row r="95" spans="1:2" x14ac:dyDescent="0.2">
      <c r="A95" s="622" t="s">
        <v>1717</v>
      </c>
      <c r="B95" s="591" t="s">
        <v>1718</v>
      </c>
    </row>
    <row r="96" spans="1:2" x14ac:dyDescent="0.2">
      <c r="A96" s="622" t="s">
        <v>1719</v>
      </c>
      <c r="B96" s="591" t="s">
        <v>1720</v>
      </c>
    </row>
    <row r="97" spans="1:2" x14ac:dyDescent="0.2">
      <c r="A97" s="622" t="s">
        <v>1721</v>
      </c>
      <c r="B97" s="591" t="s">
        <v>1718</v>
      </c>
    </row>
    <row r="98" spans="1:2" x14ac:dyDescent="0.2">
      <c r="A98" s="622" t="s">
        <v>1722</v>
      </c>
      <c r="B98" s="591" t="s">
        <v>1720</v>
      </c>
    </row>
    <row r="99" spans="1:2" x14ac:dyDescent="0.2">
      <c r="A99" s="622" t="s">
        <v>1723</v>
      </c>
      <c r="B99" s="591" t="s">
        <v>1724</v>
      </c>
    </row>
    <row r="100" spans="1:2" x14ac:dyDescent="0.2">
      <c r="A100" s="622" t="s">
        <v>1725</v>
      </c>
      <c r="B100" s="591" t="s">
        <v>1726</v>
      </c>
    </row>
    <row r="101" spans="1:2" x14ac:dyDescent="0.2">
      <c r="A101" s="622" t="s">
        <v>1727</v>
      </c>
      <c r="B101" s="591" t="s">
        <v>1724</v>
      </c>
    </row>
    <row r="102" spans="1:2" x14ac:dyDescent="0.2">
      <c r="A102" s="622" t="s">
        <v>1728</v>
      </c>
      <c r="B102" s="591" t="s">
        <v>1726</v>
      </c>
    </row>
    <row r="103" spans="1:2" x14ac:dyDescent="0.2">
      <c r="A103" s="622" t="s">
        <v>1729</v>
      </c>
      <c r="B103" s="591" t="s">
        <v>1730</v>
      </c>
    </row>
    <row r="104" spans="1:2" x14ac:dyDescent="0.2">
      <c r="A104" s="622" t="s">
        <v>1731</v>
      </c>
      <c r="B104" s="591" t="s">
        <v>1732</v>
      </c>
    </row>
    <row r="105" spans="1:2" x14ac:dyDescent="0.2">
      <c r="A105" s="622" t="s">
        <v>1733</v>
      </c>
      <c r="B105" s="591" t="s">
        <v>1730</v>
      </c>
    </row>
    <row r="106" spans="1:2" x14ac:dyDescent="0.2">
      <c r="A106" s="622" t="s">
        <v>1734</v>
      </c>
      <c r="B106" s="591" t="s">
        <v>1732</v>
      </c>
    </row>
    <row r="107" spans="1:2" x14ac:dyDescent="0.2">
      <c r="A107" s="622" t="s">
        <v>1735</v>
      </c>
      <c r="B107" s="591" t="s">
        <v>1736</v>
      </c>
    </row>
    <row r="108" spans="1:2" x14ac:dyDescent="0.2">
      <c r="A108" s="622" t="s">
        <v>1737</v>
      </c>
      <c r="B108" s="591" t="s">
        <v>1738</v>
      </c>
    </row>
    <row r="109" spans="1:2" x14ac:dyDescent="0.2">
      <c r="A109" s="622" t="s">
        <v>1739</v>
      </c>
      <c r="B109" s="591" t="s">
        <v>1736</v>
      </c>
    </row>
    <row r="110" spans="1:2" x14ac:dyDescent="0.2">
      <c r="A110" s="622" t="s">
        <v>1740</v>
      </c>
      <c r="B110" s="591" t="s">
        <v>1738</v>
      </c>
    </row>
    <row r="111" spans="1:2" x14ac:dyDescent="0.2">
      <c r="A111" s="622" t="s">
        <v>1741</v>
      </c>
      <c r="B111" s="591" t="s">
        <v>1742</v>
      </c>
    </row>
    <row r="112" spans="1:2" x14ac:dyDescent="0.2">
      <c r="A112" s="622" t="s">
        <v>1743</v>
      </c>
      <c r="B112" s="591" t="s">
        <v>1744</v>
      </c>
    </row>
    <row r="113" spans="1:2" x14ac:dyDescent="0.2">
      <c r="A113" s="622" t="s">
        <v>1745</v>
      </c>
      <c r="B113" s="591" t="s">
        <v>1742</v>
      </c>
    </row>
    <row r="114" spans="1:2" x14ac:dyDescent="0.2">
      <c r="A114" s="622" t="s">
        <v>1746</v>
      </c>
      <c r="B114" s="591" t="s">
        <v>1744</v>
      </c>
    </row>
    <row r="115" spans="1:2" x14ac:dyDescent="0.2">
      <c r="A115" s="622" t="s">
        <v>1747</v>
      </c>
      <c r="B115" s="591" t="s">
        <v>1748</v>
      </c>
    </row>
    <row r="116" spans="1:2" x14ac:dyDescent="0.2">
      <c r="A116" s="622" t="s">
        <v>1749</v>
      </c>
      <c r="B116" s="591" t="s">
        <v>1750</v>
      </c>
    </row>
    <row r="117" spans="1:2" x14ac:dyDescent="0.2">
      <c r="A117" s="622" t="s">
        <v>1751</v>
      </c>
      <c r="B117" s="591" t="s">
        <v>1748</v>
      </c>
    </row>
    <row r="118" spans="1:2" x14ac:dyDescent="0.2">
      <c r="A118" s="622" t="s">
        <v>1752</v>
      </c>
      <c r="B118" s="591" t="s">
        <v>1750</v>
      </c>
    </row>
    <row r="119" spans="1:2" x14ac:dyDescent="0.2">
      <c r="A119" s="622" t="s">
        <v>1753</v>
      </c>
      <c r="B119" s="591" t="s">
        <v>1754</v>
      </c>
    </row>
    <row r="120" spans="1:2" x14ac:dyDescent="0.2">
      <c r="A120" s="622" t="s">
        <v>1755</v>
      </c>
      <c r="B120" s="591" t="s">
        <v>1756</v>
      </c>
    </row>
    <row r="121" spans="1:2" x14ac:dyDescent="0.2">
      <c r="A121" s="622" t="s">
        <v>1757</v>
      </c>
      <c r="B121" s="591" t="s">
        <v>1754</v>
      </c>
    </row>
    <row r="122" spans="1:2" x14ac:dyDescent="0.2">
      <c r="A122" s="622" t="s">
        <v>1758</v>
      </c>
      <c r="B122" s="591" t="s">
        <v>1756</v>
      </c>
    </row>
    <row r="123" spans="1:2" x14ac:dyDescent="0.2">
      <c r="A123" s="622" t="s">
        <v>1759</v>
      </c>
      <c r="B123" s="591" t="s">
        <v>1760</v>
      </c>
    </row>
    <row r="124" spans="1:2" x14ac:dyDescent="0.2">
      <c r="A124" s="622" t="s">
        <v>1761</v>
      </c>
      <c r="B124" s="591" t="s">
        <v>1762</v>
      </c>
    </row>
    <row r="125" spans="1:2" x14ac:dyDescent="0.2">
      <c r="A125" s="622" t="s">
        <v>1763</v>
      </c>
      <c r="B125" s="591" t="s">
        <v>1760</v>
      </c>
    </row>
    <row r="126" spans="1:2" x14ac:dyDescent="0.2">
      <c r="A126" s="622" t="s">
        <v>1764</v>
      </c>
      <c r="B126" s="591" t="s">
        <v>1762</v>
      </c>
    </row>
    <row r="127" spans="1:2" x14ac:dyDescent="0.2">
      <c r="A127" s="622" t="s">
        <v>1765</v>
      </c>
      <c r="B127" s="591" t="s">
        <v>1766</v>
      </c>
    </row>
    <row r="128" spans="1:2" x14ac:dyDescent="0.2">
      <c r="A128" s="622" t="s">
        <v>1767</v>
      </c>
      <c r="B128" s="591" t="s">
        <v>1768</v>
      </c>
    </row>
    <row r="129" spans="1:2" x14ac:dyDescent="0.2">
      <c r="A129" s="622" t="s">
        <v>1769</v>
      </c>
      <c r="B129" s="591" t="s">
        <v>1766</v>
      </c>
    </row>
    <row r="130" spans="1:2" x14ac:dyDescent="0.2">
      <c r="A130" s="622" t="s">
        <v>1770</v>
      </c>
      <c r="B130" s="591" t="s">
        <v>1768</v>
      </c>
    </row>
    <row r="131" spans="1:2" x14ac:dyDescent="0.2">
      <c r="A131" s="622" t="s">
        <v>1771</v>
      </c>
      <c r="B131" s="591" t="s">
        <v>1772</v>
      </c>
    </row>
    <row r="132" spans="1:2" x14ac:dyDescent="0.2">
      <c r="A132" s="622" t="s">
        <v>1773</v>
      </c>
      <c r="B132" s="591" t="s">
        <v>1774</v>
      </c>
    </row>
    <row r="133" spans="1:2" x14ac:dyDescent="0.2">
      <c r="A133" s="622" t="s">
        <v>1775</v>
      </c>
      <c r="B133" s="591" t="s">
        <v>1772</v>
      </c>
    </row>
    <row r="134" spans="1:2" x14ac:dyDescent="0.2">
      <c r="A134" s="622" t="s">
        <v>1776</v>
      </c>
      <c r="B134" s="591" t="s">
        <v>1774</v>
      </c>
    </row>
    <row r="135" spans="1:2" x14ac:dyDescent="0.2">
      <c r="A135" s="622" t="s">
        <v>1777</v>
      </c>
      <c r="B135" s="591" t="s">
        <v>1778</v>
      </c>
    </row>
    <row r="136" spans="1:2" x14ac:dyDescent="0.2">
      <c r="A136" s="622" t="s">
        <v>1779</v>
      </c>
      <c r="B136" s="591" t="s">
        <v>1780</v>
      </c>
    </row>
    <row r="137" spans="1:2" x14ac:dyDescent="0.2">
      <c r="A137" s="622" t="s">
        <v>1781</v>
      </c>
      <c r="B137" s="591" t="s">
        <v>1778</v>
      </c>
    </row>
    <row r="138" spans="1:2" x14ac:dyDescent="0.2">
      <c r="A138" s="622" t="s">
        <v>1782</v>
      </c>
      <c r="B138" s="591" t="s">
        <v>1780</v>
      </c>
    </row>
    <row r="139" spans="1:2" x14ac:dyDescent="0.2">
      <c r="A139" s="622" t="s">
        <v>1783</v>
      </c>
      <c r="B139" s="591" t="s">
        <v>1784</v>
      </c>
    </row>
    <row r="140" spans="1:2" x14ac:dyDescent="0.2">
      <c r="A140" s="622" t="s">
        <v>1785</v>
      </c>
      <c r="B140" s="591" t="s">
        <v>1786</v>
      </c>
    </row>
    <row r="141" spans="1:2" x14ac:dyDescent="0.2">
      <c r="A141" s="622" t="s">
        <v>1787</v>
      </c>
      <c r="B141" s="591" t="s">
        <v>1784</v>
      </c>
    </row>
    <row r="142" spans="1:2" x14ac:dyDescent="0.2">
      <c r="A142" s="622" t="s">
        <v>1788</v>
      </c>
      <c r="B142" s="591" t="s">
        <v>1786</v>
      </c>
    </row>
    <row r="143" spans="1:2" x14ac:dyDescent="0.2">
      <c r="A143" s="623" t="s">
        <v>1789</v>
      </c>
      <c r="B143" s="624" t="s">
        <v>1790</v>
      </c>
    </row>
    <row r="144" spans="1:2" x14ac:dyDescent="0.2">
      <c r="A144" s="623" t="s">
        <v>1791</v>
      </c>
      <c r="B144" s="624" t="s">
        <v>1820</v>
      </c>
    </row>
    <row r="145" spans="1:2" x14ac:dyDescent="0.2">
      <c r="A145" s="622" t="s">
        <v>1821</v>
      </c>
      <c r="B145" s="591" t="s">
        <v>1822</v>
      </c>
    </row>
    <row r="146" spans="1:2" x14ac:dyDescent="0.2">
      <c r="A146" s="622" t="s">
        <v>1823</v>
      </c>
      <c r="B146" s="591" t="s">
        <v>1824</v>
      </c>
    </row>
    <row r="147" spans="1:2" x14ac:dyDescent="0.2">
      <c r="A147" s="622" t="s">
        <v>1825</v>
      </c>
      <c r="B147" s="591" t="s">
        <v>1822</v>
      </c>
    </row>
    <row r="148" spans="1:2" x14ac:dyDescent="0.2">
      <c r="A148" s="622" t="s">
        <v>1826</v>
      </c>
      <c r="B148" s="591" t="s">
        <v>1824</v>
      </c>
    </row>
    <row r="149" spans="1:2" x14ac:dyDescent="0.2">
      <c r="A149" s="622" t="s">
        <v>1827</v>
      </c>
      <c r="B149" s="591" t="s">
        <v>1828</v>
      </c>
    </row>
    <row r="150" spans="1:2" x14ac:dyDescent="0.2">
      <c r="A150" s="622" t="s">
        <v>1829</v>
      </c>
      <c r="B150" s="591" t="s">
        <v>1830</v>
      </c>
    </row>
    <row r="151" spans="1:2" x14ac:dyDescent="0.2">
      <c r="A151" s="622" t="s">
        <v>1831</v>
      </c>
      <c r="B151" s="591" t="s">
        <v>1828</v>
      </c>
    </row>
    <row r="152" spans="1:2" x14ac:dyDescent="0.2">
      <c r="A152" s="622" t="s">
        <v>1832</v>
      </c>
      <c r="B152" s="591" t="s">
        <v>1830</v>
      </c>
    </row>
    <row r="153" spans="1:2" x14ac:dyDescent="0.2">
      <c r="A153" s="622" t="s">
        <v>1833</v>
      </c>
      <c r="B153" s="591" t="s">
        <v>1834</v>
      </c>
    </row>
    <row r="154" spans="1:2" x14ac:dyDescent="0.2">
      <c r="A154" s="622" t="s">
        <v>1835</v>
      </c>
      <c r="B154" s="591" t="s">
        <v>1836</v>
      </c>
    </row>
    <row r="155" spans="1:2" x14ac:dyDescent="0.2">
      <c r="A155" s="622" t="s">
        <v>1837</v>
      </c>
      <c r="B155" s="591" t="s">
        <v>1834</v>
      </c>
    </row>
    <row r="156" spans="1:2" x14ac:dyDescent="0.2">
      <c r="A156" s="622" t="s">
        <v>1838</v>
      </c>
      <c r="B156" s="591" t="s">
        <v>1836</v>
      </c>
    </row>
    <row r="157" spans="1:2" x14ac:dyDescent="0.2">
      <c r="A157" s="622" t="s">
        <v>1839</v>
      </c>
      <c r="B157" s="591" t="s">
        <v>1840</v>
      </c>
    </row>
    <row r="158" spans="1:2" x14ac:dyDescent="0.2">
      <c r="A158" s="622" t="s">
        <v>1841</v>
      </c>
      <c r="B158" s="591" t="s">
        <v>1842</v>
      </c>
    </row>
    <row r="159" spans="1:2" x14ac:dyDescent="0.2">
      <c r="A159" s="622" t="s">
        <v>1843</v>
      </c>
      <c r="B159" s="591" t="s">
        <v>1840</v>
      </c>
    </row>
    <row r="160" spans="1:2" x14ac:dyDescent="0.2">
      <c r="A160" s="622" t="s">
        <v>1844</v>
      </c>
      <c r="B160" s="591" t="s">
        <v>1842</v>
      </c>
    </row>
    <row r="161" spans="1:2" x14ac:dyDescent="0.2">
      <c r="A161" s="622" t="s">
        <v>1845</v>
      </c>
      <c r="B161" s="591" t="s">
        <v>1846</v>
      </c>
    </row>
    <row r="162" spans="1:2" x14ac:dyDescent="0.2">
      <c r="A162" s="622" t="s">
        <v>1847</v>
      </c>
      <c r="B162" s="591" t="s">
        <v>1848</v>
      </c>
    </row>
    <row r="163" spans="1:2" x14ac:dyDescent="0.2">
      <c r="A163" s="622" t="s">
        <v>1849</v>
      </c>
      <c r="B163" s="591" t="s">
        <v>1846</v>
      </c>
    </row>
    <row r="164" spans="1:2" x14ac:dyDescent="0.2">
      <c r="A164" s="622" t="s">
        <v>1850</v>
      </c>
      <c r="B164" s="591" t="s">
        <v>1848</v>
      </c>
    </row>
    <row r="165" spans="1:2" x14ac:dyDescent="0.2">
      <c r="A165" s="622" t="s">
        <v>1851</v>
      </c>
      <c r="B165" s="591" t="s">
        <v>1852</v>
      </c>
    </row>
    <row r="166" spans="1:2" x14ac:dyDescent="0.2">
      <c r="A166" s="622" t="s">
        <v>1853</v>
      </c>
      <c r="B166" s="591" t="s">
        <v>1854</v>
      </c>
    </row>
    <row r="167" spans="1:2" x14ac:dyDescent="0.2">
      <c r="A167" s="622" t="s">
        <v>1855</v>
      </c>
      <c r="B167" s="591" t="s">
        <v>1852</v>
      </c>
    </row>
    <row r="168" spans="1:2" x14ac:dyDescent="0.2">
      <c r="A168" s="622" t="s">
        <v>1856</v>
      </c>
      <c r="B168" s="591" t="s">
        <v>1854</v>
      </c>
    </row>
    <row r="169" spans="1:2" x14ac:dyDescent="0.2">
      <c r="A169" s="622" t="s">
        <v>1857</v>
      </c>
      <c r="B169" s="591" t="s">
        <v>1869</v>
      </c>
    </row>
    <row r="170" spans="1:2" x14ac:dyDescent="0.2">
      <c r="A170" s="622" t="s">
        <v>1870</v>
      </c>
      <c r="B170" s="591" t="s">
        <v>1871</v>
      </c>
    </row>
    <row r="171" spans="1:2" x14ac:dyDescent="0.2">
      <c r="A171" s="622" t="s">
        <v>1872</v>
      </c>
      <c r="B171" s="591" t="s">
        <v>1869</v>
      </c>
    </row>
    <row r="172" spans="1:2" x14ac:dyDescent="0.2">
      <c r="A172" s="622" t="s">
        <v>1873</v>
      </c>
      <c r="B172" s="591" t="s">
        <v>1871</v>
      </c>
    </row>
    <row r="173" spans="1:2" x14ac:dyDescent="0.2">
      <c r="A173" s="622" t="s">
        <v>1874</v>
      </c>
      <c r="B173" s="591" t="s">
        <v>1875</v>
      </c>
    </row>
    <row r="174" spans="1:2" x14ac:dyDescent="0.2">
      <c r="A174" s="622" t="s">
        <v>1876</v>
      </c>
      <c r="B174" s="591" t="s">
        <v>1877</v>
      </c>
    </row>
    <row r="175" spans="1:2" x14ac:dyDescent="0.2">
      <c r="A175" s="622" t="s">
        <v>1878</v>
      </c>
      <c r="B175" s="591" t="s">
        <v>1875</v>
      </c>
    </row>
    <row r="176" spans="1:2" x14ac:dyDescent="0.2">
      <c r="A176" s="622" t="s">
        <v>1879</v>
      </c>
      <c r="B176" s="591" t="s">
        <v>1877</v>
      </c>
    </row>
    <row r="177" spans="1:2" x14ac:dyDescent="0.2">
      <c r="A177" s="622" t="s">
        <v>1880</v>
      </c>
      <c r="B177" s="591" t="s">
        <v>1881</v>
      </c>
    </row>
    <row r="178" spans="1:2" x14ac:dyDescent="0.2">
      <c r="A178" s="622" t="s">
        <v>1882</v>
      </c>
      <c r="B178" s="591" t="s">
        <v>1883</v>
      </c>
    </row>
    <row r="179" spans="1:2" x14ac:dyDescent="0.2">
      <c r="A179" s="622" t="s">
        <v>1884</v>
      </c>
      <c r="B179" s="591" t="s">
        <v>1881</v>
      </c>
    </row>
    <row r="180" spans="1:2" x14ac:dyDescent="0.2">
      <c r="A180" s="622" t="s">
        <v>1885</v>
      </c>
      <c r="B180" s="591" t="s">
        <v>1883</v>
      </c>
    </row>
    <row r="181" spans="1:2" x14ac:dyDescent="0.2">
      <c r="A181" s="622" t="s">
        <v>1886</v>
      </c>
      <c r="B181" s="591" t="s">
        <v>1887</v>
      </c>
    </row>
    <row r="182" spans="1:2" x14ac:dyDescent="0.2">
      <c r="A182" s="622" t="s">
        <v>1888</v>
      </c>
      <c r="B182" s="591" t="s">
        <v>1889</v>
      </c>
    </row>
    <row r="183" spans="1:2" x14ac:dyDescent="0.2">
      <c r="A183" s="622" t="s">
        <v>1890</v>
      </c>
      <c r="B183" s="591" t="s">
        <v>1887</v>
      </c>
    </row>
    <row r="184" spans="1:2" x14ac:dyDescent="0.2">
      <c r="A184" s="622" t="s">
        <v>1891</v>
      </c>
      <c r="B184" s="591" t="s">
        <v>1889</v>
      </c>
    </row>
    <row r="185" spans="1:2" x14ac:dyDescent="0.2">
      <c r="A185" s="622" t="s">
        <v>1892</v>
      </c>
      <c r="B185" s="591" t="s">
        <v>1893</v>
      </c>
    </row>
    <row r="186" spans="1:2" x14ac:dyDescent="0.2">
      <c r="A186" s="622" t="s">
        <v>1894</v>
      </c>
      <c r="B186" s="591" t="s">
        <v>1895</v>
      </c>
    </row>
    <row r="187" spans="1:2" x14ac:dyDescent="0.2">
      <c r="A187" s="622" t="s">
        <v>1896</v>
      </c>
      <c r="B187" s="591" t="s">
        <v>1893</v>
      </c>
    </row>
    <row r="188" spans="1:2" x14ac:dyDescent="0.2">
      <c r="A188" s="622" t="s">
        <v>1897</v>
      </c>
      <c r="B188" s="591" t="s">
        <v>1895</v>
      </c>
    </row>
    <row r="189" spans="1:2" x14ac:dyDescent="0.2">
      <c r="A189" s="622" t="s">
        <v>1898</v>
      </c>
      <c r="B189" s="591" t="s">
        <v>1899</v>
      </c>
    </row>
    <row r="190" spans="1:2" x14ac:dyDescent="0.2">
      <c r="A190" s="622" t="s">
        <v>1900</v>
      </c>
      <c r="B190" s="591" t="s">
        <v>1901</v>
      </c>
    </row>
    <row r="191" spans="1:2" x14ac:dyDescent="0.2">
      <c r="A191" s="622" t="s">
        <v>1902</v>
      </c>
      <c r="B191" s="591" t="s">
        <v>1899</v>
      </c>
    </row>
    <row r="192" spans="1:2" x14ac:dyDescent="0.2">
      <c r="A192" s="622" t="s">
        <v>1903</v>
      </c>
      <c r="B192" s="591" t="s">
        <v>1901</v>
      </c>
    </row>
    <row r="193" spans="1:2" x14ac:dyDescent="0.2">
      <c r="A193" s="623" t="s">
        <v>1904</v>
      </c>
      <c r="B193" s="624" t="s">
        <v>1905</v>
      </c>
    </row>
    <row r="194" spans="1:2" x14ac:dyDescent="0.2">
      <c r="A194" s="623" t="s">
        <v>1906</v>
      </c>
      <c r="B194" s="624" t="s">
        <v>1907</v>
      </c>
    </row>
    <row r="195" spans="1:2" x14ac:dyDescent="0.2">
      <c r="A195" s="622" t="s">
        <v>1908</v>
      </c>
      <c r="B195" s="591" t="s">
        <v>1909</v>
      </c>
    </row>
    <row r="196" spans="1:2" x14ac:dyDescent="0.2">
      <c r="A196" s="622" t="s">
        <v>1910</v>
      </c>
      <c r="B196" s="591" t="s">
        <v>1911</v>
      </c>
    </row>
    <row r="197" spans="1:2" x14ac:dyDescent="0.2">
      <c r="A197" s="622" t="s">
        <v>1912</v>
      </c>
      <c r="B197" s="591" t="s">
        <v>1909</v>
      </c>
    </row>
    <row r="198" spans="1:2" x14ac:dyDescent="0.2">
      <c r="A198" s="622" t="s">
        <v>1913</v>
      </c>
      <c r="B198" s="591" t="s">
        <v>1911</v>
      </c>
    </row>
    <row r="199" spans="1:2" x14ac:dyDescent="0.2">
      <c r="A199" s="622" t="s">
        <v>1914</v>
      </c>
      <c r="B199" s="591" t="s">
        <v>1915</v>
      </c>
    </row>
    <row r="200" spans="1:2" x14ac:dyDescent="0.2">
      <c r="A200" s="622" t="s">
        <v>1916</v>
      </c>
      <c r="B200" s="591" t="s">
        <v>1917</v>
      </c>
    </row>
    <row r="201" spans="1:2" x14ac:dyDescent="0.2">
      <c r="A201" s="622" t="s">
        <v>1918</v>
      </c>
      <c r="B201" s="591" t="s">
        <v>1915</v>
      </c>
    </row>
    <row r="202" spans="1:2" x14ac:dyDescent="0.2">
      <c r="A202" s="622" t="s">
        <v>1919</v>
      </c>
      <c r="B202" s="591" t="s">
        <v>1917</v>
      </c>
    </row>
    <row r="203" spans="1:2" x14ac:dyDescent="0.2">
      <c r="A203" s="622" t="s">
        <v>1920</v>
      </c>
      <c r="B203" s="591" t="s">
        <v>1921</v>
      </c>
    </row>
    <row r="204" spans="1:2" x14ac:dyDescent="0.2">
      <c r="A204" s="622" t="s">
        <v>1922</v>
      </c>
      <c r="B204" s="591" t="s">
        <v>1923</v>
      </c>
    </row>
    <row r="205" spans="1:2" x14ac:dyDescent="0.2">
      <c r="A205" s="622" t="s">
        <v>1924</v>
      </c>
      <c r="B205" s="591" t="s">
        <v>1921</v>
      </c>
    </row>
    <row r="206" spans="1:2" x14ac:dyDescent="0.2">
      <c r="A206" s="622" t="s">
        <v>1925</v>
      </c>
      <c r="B206" s="591" t="s">
        <v>1923</v>
      </c>
    </row>
    <row r="207" spans="1:2" x14ac:dyDescent="0.2">
      <c r="A207" s="622" t="s">
        <v>1926</v>
      </c>
      <c r="B207" s="591" t="s">
        <v>1927</v>
      </c>
    </row>
    <row r="208" spans="1:2" x14ac:dyDescent="0.2">
      <c r="A208" s="622" t="s">
        <v>1928</v>
      </c>
      <c r="B208" s="591" t="s">
        <v>1929</v>
      </c>
    </row>
    <row r="209" spans="1:2" x14ac:dyDescent="0.2">
      <c r="A209" s="622" t="s">
        <v>1930</v>
      </c>
      <c r="B209" s="591" t="s">
        <v>1927</v>
      </c>
    </row>
    <row r="210" spans="1:2" x14ac:dyDescent="0.2">
      <c r="A210" s="622" t="s">
        <v>1931</v>
      </c>
      <c r="B210" s="591" t="s">
        <v>1929</v>
      </c>
    </row>
    <row r="211" spans="1:2" x14ac:dyDescent="0.2">
      <c r="A211" s="622" t="s">
        <v>1932</v>
      </c>
      <c r="B211" s="591" t="s">
        <v>1933</v>
      </c>
    </row>
    <row r="212" spans="1:2" x14ac:dyDescent="0.2">
      <c r="A212" s="622" t="s">
        <v>1934</v>
      </c>
      <c r="B212" s="591" t="s">
        <v>1935</v>
      </c>
    </row>
    <row r="213" spans="1:2" x14ac:dyDescent="0.2">
      <c r="A213" s="622" t="s">
        <v>1936</v>
      </c>
      <c r="B213" s="591" t="s">
        <v>1933</v>
      </c>
    </row>
    <row r="214" spans="1:2" x14ac:dyDescent="0.2">
      <c r="A214" s="622" t="s">
        <v>1937</v>
      </c>
      <c r="B214" s="591" t="s">
        <v>1935</v>
      </c>
    </row>
    <row r="215" spans="1:2" x14ac:dyDescent="0.2">
      <c r="A215" s="622" t="s">
        <v>1938</v>
      </c>
      <c r="B215" s="591" t="s">
        <v>1939</v>
      </c>
    </row>
    <row r="216" spans="1:2" x14ac:dyDescent="0.2">
      <c r="A216" s="622" t="s">
        <v>1940</v>
      </c>
      <c r="B216" s="591" t="s">
        <v>1941</v>
      </c>
    </row>
    <row r="217" spans="1:2" x14ac:dyDescent="0.2">
      <c r="A217" s="622" t="s">
        <v>1942</v>
      </c>
      <c r="B217" s="591" t="s">
        <v>1939</v>
      </c>
    </row>
    <row r="218" spans="1:2" x14ac:dyDescent="0.2">
      <c r="A218" s="622" t="s">
        <v>1943</v>
      </c>
      <c r="B218" s="591" t="s">
        <v>1941</v>
      </c>
    </row>
    <row r="219" spans="1:2" x14ac:dyDescent="0.2">
      <c r="A219" s="622" t="s">
        <v>1944</v>
      </c>
      <c r="B219" s="591" t="s">
        <v>1945</v>
      </c>
    </row>
    <row r="220" spans="1:2" x14ac:dyDescent="0.2">
      <c r="A220" s="622" t="s">
        <v>1946</v>
      </c>
      <c r="B220" s="591" t="s">
        <v>1947</v>
      </c>
    </row>
    <row r="221" spans="1:2" x14ac:dyDescent="0.2">
      <c r="A221" s="622" t="s">
        <v>1948</v>
      </c>
      <c r="B221" s="591" t="s">
        <v>1945</v>
      </c>
    </row>
    <row r="222" spans="1:2" x14ac:dyDescent="0.2">
      <c r="A222" s="622" t="s">
        <v>1949</v>
      </c>
      <c r="B222" s="591" t="s">
        <v>1947</v>
      </c>
    </row>
    <row r="223" spans="1:2" x14ac:dyDescent="0.2">
      <c r="A223" s="622" t="s">
        <v>1950</v>
      </c>
      <c r="B223" s="591" t="s">
        <v>1951</v>
      </c>
    </row>
    <row r="224" spans="1:2" x14ac:dyDescent="0.2">
      <c r="A224" s="622" t="s">
        <v>1952</v>
      </c>
      <c r="B224" s="591" t="s">
        <v>1953</v>
      </c>
    </row>
    <row r="225" spans="1:2" x14ac:dyDescent="0.2">
      <c r="A225" s="622" t="s">
        <v>1954</v>
      </c>
      <c r="B225" s="591" t="s">
        <v>1951</v>
      </c>
    </row>
    <row r="226" spans="1:2" x14ac:dyDescent="0.2">
      <c r="A226" s="622" t="s">
        <v>1955</v>
      </c>
      <c r="B226" s="591" t="s">
        <v>1953</v>
      </c>
    </row>
    <row r="227" spans="1:2" x14ac:dyDescent="0.2">
      <c r="A227" s="622" t="s">
        <v>1956</v>
      </c>
      <c r="B227" s="591" t="s">
        <v>1957</v>
      </c>
    </row>
    <row r="228" spans="1:2" x14ac:dyDescent="0.2">
      <c r="A228" s="622" t="s">
        <v>1958</v>
      </c>
      <c r="B228" s="591" t="s">
        <v>1959</v>
      </c>
    </row>
    <row r="229" spans="1:2" x14ac:dyDescent="0.2">
      <c r="A229" s="622" t="s">
        <v>1960</v>
      </c>
      <c r="B229" s="591" t="s">
        <v>1957</v>
      </c>
    </row>
    <row r="230" spans="1:2" x14ac:dyDescent="0.2">
      <c r="A230" s="622" t="s">
        <v>1961</v>
      </c>
      <c r="B230" s="591" t="s">
        <v>1959</v>
      </c>
    </row>
    <row r="231" spans="1:2" x14ac:dyDescent="0.2">
      <c r="A231" s="622" t="s">
        <v>1962</v>
      </c>
      <c r="B231" s="591" t="s">
        <v>1963</v>
      </c>
    </row>
    <row r="232" spans="1:2" x14ac:dyDescent="0.2">
      <c r="A232" s="622" t="s">
        <v>1964</v>
      </c>
      <c r="B232" s="591" t="s">
        <v>1965</v>
      </c>
    </row>
    <row r="233" spans="1:2" x14ac:dyDescent="0.2">
      <c r="A233" s="622" t="s">
        <v>1966</v>
      </c>
      <c r="B233" s="591" t="s">
        <v>1963</v>
      </c>
    </row>
    <row r="234" spans="1:2" x14ac:dyDescent="0.2">
      <c r="A234" s="622" t="s">
        <v>1967</v>
      </c>
      <c r="B234" s="591" t="s">
        <v>1965</v>
      </c>
    </row>
    <row r="235" spans="1:2" x14ac:dyDescent="0.2">
      <c r="A235" s="622" t="s">
        <v>1968</v>
      </c>
      <c r="B235" s="591" t="s">
        <v>0</v>
      </c>
    </row>
    <row r="236" spans="1:2" x14ac:dyDescent="0.2">
      <c r="A236" s="622" t="s">
        <v>1</v>
      </c>
      <c r="B236" s="591" t="s">
        <v>2</v>
      </c>
    </row>
    <row r="237" spans="1:2" x14ac:dyDescent="0.2">
      <c r="A237" s="622" t="s">
        <v>3</v>
      </c>
      <c r="B237" s="591" t="s">
        <v>0</v>
      </c>
    </row>
    <row r="238" spans="1:2" x14ac:dyDescent="0.2">
      <c r="A238" s="622" t="s">
        <v>4</v>
      </c>
      <c r="B238" s="591" t="s">
        <v>2</v>
      </c>
    </row>
    <row r="239" spans="1:2" x14ac:dyDescent="0.2">
      <c r="A239" s="622" t="s">
        <v>5</v>
      </c>
      <c r="B239" s="591" t="s">
        <v>6</v>
      </c>
    </row>
    <row r="240" spans="1:2" x14ac:dyDescent="0.2">
      <c r="A240" s="622" t="s">
        <v>7</v>
      </c>
      <c r="B240" s="591" t="s">
        <v>8</v>
      </c>
    </row>
    <row r="241" spans="1:2" x14ac:dyDescent="0.2">
      <c r="A241" s="622" t="s">
        <v>9</v>
      </c>
      <c r="B241" s="591" t="s">
        <v>6</v>
      </c>
    </row>
    <row r="242" spans="1:2" x14ac:dyDescent="0.2">
      <c r="A242" s="622" t="s">
        <v>10</v>
      </c>
      <c r="B242" s="591" t="s">
        <v>8</v>
      </c>
    </row>
    <row r="243" spans="1:2" x14ac:dyDescent="0.2">
      <c r="A243" s="623" t="s">
        <v>11</v>
      </c>
      <c r="B243" s="624" t="s">
        <v>12</v>
      </c>
    </row>
    <row r="244" spans="1:2" x14ac:dyDescent="0.2">
      <c r="A244" s="623" t="s">
        <v>13</v>
      </c>
      <c r="B244" s="624" t="s">
        <v>14</v>
      </c>
    </row>
    <row r="245" spans="1:2" x14ac:dyDescent="0.2">
      <c r="A245" s="622" t="s">
        <v>15</v>
      </c>
      <c r="B245" s="591" t="s">
        <v>16</v>
      </c>
    </row>
    <row r="246" spans="1:2" x14ac:dyDescent="0.2">
      <c r="A246" s="622" t="s">
        <v>17</v>
      </c>
      <c r="B246" s="591" t="s">
        <v>18</v>
      </c>
    </row>
    <row r="247" spans="1:2" x14ac:dyDescent="0.2">
      <c r="A247" s="622" t="s">
        <v>19</v>
      </c>
      <c r="B247" s="591" t="s">
        <v>16</v>
      </c>
    </row>
    <row r="248" spans="1:2" x14ac:dyDescent="0.2">
      <c r="A248" s="622" t="s">
        <v>20</v>
      </c>
      <c r="B248" s="591" t="s">
        <v>18</v>
      </c>
    </row>
    <row r="249" spans="1:2" x14ac:dyDescent="0.2">
      <c r="A249" s="622" t="s">
        <v>21</v>
      </c>
      <c r="B249" s="591" t="s">
        <v>22</v>
      </c>
    </row>
    <row r="250" spans="1:2" x14ac:dyDescent="0.2">
      <c r="A250" s="622" t="s">
        <v>23</v>
      </c>
      <c r="B250" s="591" t="s">
        <v>85</v>
      </c>
    </row>
    <row r="251" spans="1:2" x14ac:dyDescent="0.2">
      <c r="A251" s="622" t="s">
        <v>86</v>
      </c>
      <c r="B251" s="591" t="s">
        <v>22</v>
      </c>
    </row>
    <row r="252" spans="1:2" x14ac:dyDescent="0.2">
      <c r="A252" s="622" t="s">
        <v>87</v>
      </c>
      <c r="B252" s="591" t="s">
        <v>85</v>
      </c>
    </row>
    <row r="253" spans="1:2" x14ac:dyDescent="0.2">
      <c r="A253" s="622" t="s">
        <v>88</v>
      </c>
      <c r="B253" s="591" t="s">
        <v>89</v>
      </c>
    </row>
    <row r="254" spans="1:2" x14ac:dyDescent="0.2">
      <c r="A254" s="622" t="s">
        <v>90</v>
      </c>
      <c r="B254" s="591" t="s">
        <v>91</v>
      </c>
    </row>
    <row r="255" spans="1:2" x14ac:dyDescent="0.2">
      <c r="A255" s="622" t="s">
        <v>92</v>
      </c>
      <c r="B255" s="591" t="s">
        <v>89</v>
      </c>
    </row>
    <row r="256" spans="1:2" x14ac:dyDescent="0.2">
      <c r="A256" s="622" t="s">
        <v>93</v>
      </c>
      <c r="B256" s="591" t="s">
        <v>91</v>
      </c>
    </row>
    <row r="257" spans="1:2" x14ac:dyDescent="0.2">
      <c r="A257" s="622" t="s">
        <v>94</v>
      </c>
      <c r="B257" s="591" t="s">
        <v>95</v>
      </c>
    </row>
    <row r="258" spans="1:2" x14ac:dyDescent="0.2">
      <c r="A258" s="622" t="s">
        <v>96</v>
      </c>
      <c r="B258" s="591" t="s">
        <v>97</v>
      </c>
    </row>
    <row r="259" spans="1:2" x14ac:dyDescent="0.2">
      <c r="A259" s="622" t="s">
        <v>98</v>
      </c>
      <c r="B259" s="591" t="s">
        <v>95</v>
      </c>
    </row>
    <row r="260" spans="1:2" x14ac:dyDescent="0.2">
      <c r="A260" s="622" t="s">
        <v>99</v>
      </c>
      <c r="B260" s="591" t="s">
        <v>97</v>
      </c>
    </row>
    <row r="261" spans="1:2" x14ac:dyDescent="0.2">
      <c r="A261" s="622" t="s">
        <v>100</v>
      </c>
      <c r="B261" s="591" t="s">
        <v>101</v>
      </c>
    </row>
    <row r="262" spans="1:2" x14ac:dyDescent="0.2">
      <c r="A262" s="622" t="s">
        <v>102</v>
      </c>
      <c r="B262" s="591" t="s">
        <v>103</v>
      </c>
    </row>
    <row r="263" spans="1:2" x14ac:dyDescent="0.2">
      <c r="A263" s="622" t="s">
        <v>104</v>
      </c>
      <c r="B263" s="591" t="s">
        <v>101</v>
      </c>
    </row>
    <row r="264" spans="1:2" x14ac:dyDescent="0.2">
      <c r="A264" s="622" t="s">
        <v>105</v>
      </c>
      <c r="B264" s="591" t="s">
        <v>103</v>
      </c>
    </row>
    <row r="265" spans="1:2" x14ac:dyDescent="0.2">
      <c r="A265" s="622" t="s">
        <v>106</v>
      </c>
      <c r="B265" s="591" t="s">
        <v>107</v>
      </c>
    </row>
    <row r="266" spans="1:2" x14ac:dyDescent="0.2">
      <c r="A266" s="622" t="s">
        <v>108</v>
      </c>
      <c r="B266" s="591" t="s">
        <v>109</v>
      </c>
    </row>
    <row r="267" spans="1:2" x14ac:dyDescent="0.2">
      <c r="A267" s="622" t="s">
        <v>110</v>
      </c>
      <c r="B267" s="591" t="s">
        <v>107</v>
      </c>
    </row>
    <row r="268" spans="1:2" x14ac:dyDescent="0.2">
      <c r="A268" s="622" t="s">
        <v>111</v>
      </c>
      <c r="B268" s="591" t="s">
        <v>109</v>
      </c>
    </row>
    <row r="269" spans="1:2" x14ac:dyDescent="0.2">
      <c r="A269" s="622" t="s">
        <v>112</v>
      </c>
      <c r="B269" s="591" t="s">
        <v>113</v>
      </c>
    </row>
    <row r="270" spans="1:2" x14ac:dyDescent="0.2">
      <c r="A270" s="622" t="s">
        <v>114</v>
      </c>
      <c r="B270" s="591" t="s">
        <v>115</v>
      </c>
    </row>
    <row r="271" spans="1:2" x14ac:dyDescent="0.2">
      <c r="A271" s="622" t="s">
        <v>116</v>
      </c>
      <c r="B271" s="591" t="s">
        <v>113</v>
      </c>
    </row>
    <row r="272" spans="1:2" x14ac:dyDescent="0.2">
      <c r="A272" s="622" t="s">
        <v>123</v>
      </c>
      <c r="B272" s="591" t="s">
        <v>115</v>
      </c>
    </row>
    <row r="273" spans="1:2" x14ac:dyDescent="0.2">
      <c r="A273" s="622" t="s">
        <v>124</v>
      </c>
      <c r="B273" s="591" t="s">
        <v>125</v>
      </c>
    </row>
    <row r="274" spans="1:2" x14ac:dyDescent="0.2">
      <c r="A274" s="622" t="s">
        <v>126</v>
      </c>
      <c r="B274" s="591" t="s">
        <v>127</v>
      </c>
    </row>
    <row r="275" spans="1:2" x14ac:dyDescent="0.2">
      <c r="A275" s="622" t="s">
        <v>128</v>
      </c>
      <c r="B275" s="591" t="s">
        <v>125</v>
      </c>
    </row>
    <row r="276" spans="1:2" x14ac:dyDescent="0.2">
      <c r="A276" s="622" t="s">
        <v>129</v>
      </c>
      <c r="B276" s="591" t="s">
        <v>127</v>
      </c>
    </row>
    <row r="277" spans="1:2" x14ac:dyDescent="0.2">
      <c r="A277" s="622" t="s">
        <v>130</v>
      </c>
      <c r="B277" s="591" t="s">
        <v>131</v>
      </c>
    </row>
    <row r="278" spans="1:2" x14ac:dyDescent="0.2">
      <c r="A278" s="622" t="s">
        <v>132</v>
      </c>
      <c r="B278" s="591" t="s">
        <v>133</v>
      </c>
    </row>
    <row r="279" spans="1:2" x14ac:dyDescent="0.2">
      <c r="A279" s="622" t="s">
        <v>134</v>
      </c>
      <c r="B279" s="591" t="s">
        <v>131</v>
      </c>
    </row>
    <row r="280" spans="1:2" x14ac:dyDescent="0.2">
      <c r="A280" s="622" t="s">
        <v>135</v>
      </c>
      <c r="B280" s="591" t="s">
        <v>133</v>
      </c>
    </row>
    <row r="281" spans="1:2" x14ac:dyDescent="0.2">
      <c r="A281" s="622" t="s">
        <v>136</v>
      </c>
      <c r="B281" s="591" t="s">
        <v>137</v>
      </c>
    </row>
    <row r="282" spans="1:2" x14ac:dyDescent="0.2">
      <c r="A282" s="622" t="s">
        <v>138</v>
      </c>
      <c r="B282" s="591" t="s">
        <v>139</v>
      </c>
    </row>
    <row r="283" spans="1:2" x14ac:dyDescent="0.2">
      <c r="A283" s="622" t="s">
        <v>140</v>
      </c>
      <c r="B283" s="591" t="s">
        <v>137</v>
      </c>
    </row>
    <row r="284" spans="1:2" x14ac:dyDescent="0.2">
      <c r="A284" s="622" t="s">
        <v>141</v>
      </c>
      <c r="B284" s="591" t="s">
        <v>139</v>
      </c>
    </row>
    <row r="285" spans="1:2" x14ac:dyDescent="0.2">
      <c r="A285" s="622" t="s">
        <v>142</v>
      </c>
      <c r="B285" s="591" t="s">
        <v>143</v>
      </c>
    </row>
    <row r="286" spans="1:2" x14ac:dyDescent="0.2">
      <c r="A286" s="622" t="s">
        <v>144</v>
      </c>
      <c r="B286" s="591" t="s">
        <v>145</v>
      </c>
    </row>
    <row r="287" spans="1:2" x14ac:dyDescent="0.2">
      <c r="A287" s="622" t="s">
        <v>146</v>
      </c>
      <c r="B287" s="591" t="s">
        <v>143</v>
      </c>
    </row>
    <row r="288" spans="1:2" x14ac:dyDescent="0.2">
      <c r="A288" s="622" t="s">
        <v>147</v>
      </c>
      <c r="B288" s="591" t="s">
        <v>145</v>
      </c>
    </row>
    <row r="289" spans="1:2" x14ac:dyDescent="0.2">
      <c r="A289" s="622" t="s">
        <v>148</v>
      </c>
      <c r="B289" s="591" t="s">
        <v>149</v>
      </c>
    </row>
    <row r="290" spans="1:2" x14ac:dyDescent="0.2">
      <c r="A290" s="622" t="s">
        <v>150</v>
      </c>
      <c r="B290" s="591" t="s">
        <v>151</v>
      </c>
    </row>
    <row r="291" spans="1:2" x14ac:dyDescent="0.2">
      <c r="A291" s="622" t="s">
        <v>152</v>
      </c>
      <c r="B291" s="591" t="s">
        <v>149</v>
      </c>
    </row>
    <row r="292" spans="1:2" x14ac:dyDescent="0.2">
      <c r="A292" s="622" t="s">
        <v>153</v>
      </c>
      <c r="B292" s="591" t="s">
        <v>151</v>
      </c>
    </row>
    <row r="293" spans="1:2" x14ac:dyDescent="0.2">
      <c r="A293" s="623" t="s">
        <v>154</v>
      </c>
      <c r="B293" s="624" t="s">
        <v>155</v>
      </c>
    </row>
    <row r="294" spans="1:2" x14ac:dyDescent="0.2">
      <c r="A294" s="623" t="s">
        <v>156</v>
      </c>
      <c r="B294" s="624" t="s">
        <v>157</v>
      </c>
    </row>
    <row r="295" spans="1:2" x14ac:dyDescent="0.2">
      <c r="A295" s="622" t="s">
        <v>158</v>
      </c>
      <c r="B295" s="591" t="s">
        <v>159</v>
      </c>
    </row>
    <row r="296" spans="1:2" x14ac:dyDescent="0.2">
      <c r="A296" s="622" t="s">
        <v>160</v>
      </c>
      <c r="B296" s="591" t="s">
        <v>161</v>
      </c>
    </row>
    <row r="297" spans="1:2" x14ac:dyDescent="0.2">
      <c r="A297" s="622" t="s">
        <v>162</v>
      </c>
      <c r="B297" s="591" t="s">
        <v>159</v>
      </c>
    </row>
    <row r="298" spans="1:2" x14ac:dyDescent="0.2">
      <c r="A298" s="622" t="s">
        <v>163</v>
      </c>
      <c r="B298" s="591" t="s">
        <v>161</v>
      </c>
    </row>
    <row r="299" spans="1:2" x14ac:dyDescent="0.2">
      <c r="A299" s="622" t="s">
        <v>164</v>
      </c>
      <c r="B299" s="591" t="s">
        <v>165</v>
      </c>
    </row>
    <row r="300" spans="1:2" x14ac:dyDescent="0.2">
      <c r="A300" s="622" t="s">
        <v>166</v>
      </c>
      <c r="B300" s="591" t="s">
        <v>167</v>
      </c>
    </row>
    <row r="301" spans="1:2" x14ac:dyDescent="0.2">
      <c r="A301" s="622" t="s">
        <v>168</v>
      </c>
      <c r="B301" s="591" t="s">
        <v>165</v>
      </c>
    </row>
    <row r="302" spans="1:2" x14ac:dyDescent="0.2">
      <c r="A302" s="622" t="s">
        <v>169</v>
      </c>
      <c r="B302" s="591" t="s">
        <v>167</v>
      </c>
    </row>
    <row r="303" spans="1:2" x14ac:dyDescent="0.2">
      <c r="A303" s="622" t="s">
        <v>170</v>
      </c>
      <c r="B303" s="591" t="s">
        <v>171</v>
      </c>
    </row>
    <row r="304" spans="1:2" x14ac:dyDescent="0.2">
      <c r="A304" s="622" t="s">
        <v>172</v>
      </c>
      <c r="B304" s="591" t="s">
        <v>173</v>
      </c>
    </row>
    <row r="305" spans="1:2" x14ac:dyDescent="0.2">
      <c r="A305" s="622" t="s">
        <v>174</v>
      </c>
      <c r="B305" s="591" t="s">
        <v>171</v>
      </c>
    </row>
    <row r="306" spans="1:2" x14ac:dyDescent="0.2">
      <c r="A306" s="622" t="s">
        <v>175</v>
      </c>
      <c r="B306" s="591" t="s">
        <v>173</v>
      </c>
    </row>
    <row r="307" spans="1:2" x14ac:dyDescent="0.2">
      <c r="A307" s="622" t="s">
        <v>176</v>
      </c>
      <c r="B307" s="591" t="s">
        <v>177</v>
      </c>
    </row>
    <row r="308" spans="1:2" x14ac:dyDescent="0.2">
      <c r="A308" s="622" t="s">
        <v>178</v>
      </c>
      <c r="B308" s="591" t="s">
        <v>179</v>
      </c>
    </row>
    <row r="309" spans="1:2" x14ac:dyDescent="0.2">
      <c r="A309" s="622" t="s">
        <v>180</v>
      </c>
      <c r="B309" s="591" t="s">
        <v>177</v>
      </c>
    </row>
    <row r="310" spans="1:2" x14ac:dyDescent="0.2">
      <c r="A310" s="622" t="s">
        <v>181</v>
      </c>
      <c r="B310" s="591" t="s">
        <v>179</v>
      </c>
    </row>
    <row r="311" spans="1:2" x14ac:dyDescent="0.2">
      <c r="A311" s="622" t="s">
        <v>182</v>
      </c>
      <c r="B311" s="591" t="s">
        <v>185</v>
      </c>
    </row>
    <row r="312" spans="1:2" x14ac:dyDescent="0.2">
      <c r="A312" s="622" t="s">
        <v>186</v>
      </c>
      <c r="B312" s="591" t="s">
        <v>187</v>
      </c>
    </row>
    <row r="313" spans="1:2" x14ac:dyDescent="0.2">
      <c r="A313" s="622" t="s">
        <v>188</v>
      </c>
      <c r="B313" s="591" t="s">
        <v>185</v>
      </c>
    </row>
    <row r="314" spans="1:2" x14ac:dyDescent="0.2">
      <c r="A314" s="622" t="s">
        <v>189</v>
      </c>
      <c r="B314" s="591" t="s">
        <v>187</v>
      </c>
    </row>
    <row r="315" spans="1:2" x14ac:dyDescent="0.2">
      <c r="A315" s="622" t="s">
        <v>190</v>
      </c>
      <c r="B315" s="591" t="s">
        <v>191</v>
      </c>
    </row>
    <row r="316" spans="1:2" x14ac:dyDescent="0.2">
      <c r="A316" s="622" t="s">
        <v>192</v>
      </c>
      <c r="B316" s="591" t="s">
        <v>193</v>
      </c>
    </row>
    <row r="317" spans="1:2" x14ac:dyDescent="0.2">
      <c r="A317" s="622" t="s">
        <v>194</v>
      </c>
      <c r="B317" s="591" t="s">
        <v>191</v>
      </c>
    </row>
    <row r="318" spans="1:2" x14ac:dyDescent="0.2">
      <c r="A318" s="622" t="s">
        <v>195</v>
      </c>
      <c r="B318" s="591" t="s">
        <v>193</v>
      </c>
    </row>
    <row r="319" spans="1:2" x14ac:dyDescent="0.2">
      <c r="A319" s="622" t="s">
        <v>196</v>
      </c>
      <c r="B319" s="591" t="s">
        <v>199</v>
      </c>
    </row>
    <row r="320" spans="1:2" x14ac:dyDescent="0.2">
      <c r="A320" s="622" t="s">
        <v>200</v>
      </c>
      <c r="B320" s="591" t="s">
        <v>201</v>
      </c>
    </row>
    <row r="321" spans="1:2" x14ac:dyDescent="0.2">
      <c r="A321" s="622" t="s">
        <v>202</v>
      </c>
      <c r="B321" s="591" t="s">
        <v>199</v>
      </c>
    </row>
    <row r="322" spans="1:2" x14ac:dyDescent="0.2">
      <c r="A322" s="622" t="s">
        <v>203</v>
      </c>
      <c r="B322" s="591" t="s">
        <v>201</v>
      </c>
    </row>
    <row r="323" spans="1:2" x14ac:dyDescent="0.2">
      <c r="A323" s="622" t="s">
        <v>204</v>
      </c>
      <c r="B323" s="591" t="s">
        <v>205</v>
      </c>
    </row>
    <row r="324" spans="1:2" x14ac:dyDescent="0.2">
      <c r="A324" s="622" t="s">
        <v>206</v>
      </c>
      <c r="B324" s="591" t="s">
        <v>207</v>
      </c>
    </row>
    <row r="325" spans="1:2" x14ac:dyDescent="0.2">
      <c r="A325" s="622" t="s">
        <v>208</v>
      </c>
      <c r="B325" s="591" t="s">
        <v>205</v>
      </c>
    </row>
    <row r="326" spans="1:2" x14ac:dyDescent="0.2">
      <c r="A326" s="622" t="s">
        <v>209</v>
      </c>
      <c r="B326" s="591" t="s">
        <v>207</v>
      </c>
    </row>
    <row r="327" spans="1:2" x14ac:dyDescent="0.2">
      <c r="A327" s="622" t="s">
        <v>210</v>
      </c>
      <c r="B327" s="591" t="s">
        <v>211</v>
      </c>
    </row>
    <row r="328" spans="1:2" x14ac:dyDescent="0.2">
      <c r="A328" s="622" t="s">
        <v>212</v>
      </c>
      <c r="B328" s="591" t="s">
        <v>213</v>
      </c>
    </row>
    <row r="329" spans="1:2" x14ac:dyDescent="0.2">
      <c r="A329" s="622" t="s">
        <v>214</v>
      </c>
      <c r="B329" s="591" t="s">
        <v>211</v>
      </c>
    </row>
    <row r="330" spans="1:2" x14ac:dyDescent="0.2">
      <c r="A330" s="622" t="s">
        <v>215</v>
      </c>
      <c r="B330" s="591" t="s">
        <v>213</v>
      </c>
    </row>
    <row r="331" spans="1:2" x14ac:dyDescent="0.2">
      <c r="A331" s="622" t="s">
        <v>216</v>
      </c>
      <c r="B331" s="591" t="s">
        <v>217</v>
      </c>
    </row>
    <row r="332" spans="1:2" x14ac:dyDescent="0.2">
      <c r="A332" s="622" t="s">
        <v>218</v>
      </c>
      <c r="B332" s="591" t="s">
        <v>219</v>
      </c>
    </row>
    <row r="333" spans="1:2" x14ac:dyDescent="0.2">
      <c r="A333" s="622" t="s">
        <v>220</v>
      </c>
      <c r="B333" s="591" t="s">
        <v>217</v>
      </c>
    </row>
    <row r="334" spans="1:2" x14ac:dyDescent="0.2">
      <c r="A334" s="622" t="s">
        <v>221</v>
      </c>
      <c r="B334" s="591" t="s">
        <v>219</v>
      </c>
    </row>
    <row r="335" spans="1:2" x14ac:dyDescent="0.2">
      <c r="A335" s="622" t="s">
        <v>222</v>
      </c>
      <c r="B335" s="591" t="s">
        <v>258</v>
      </c>
    </row>
    <row r="336" spans="1:2" x14ac:dyDescent="0.2">
      <c r="A336" s="622" t="s">
        <v>259</v>
      </c>
      <c r="B336" s="591" t="s">
        <v>260</v>
      </c>
    </row>
    <row r="337" spans="1:2" x14ac:dyDescent="0.2">
      <c r="A337" s="622" t="s">
        <v>261</v>
      </c>
      <c r="B337" s="591" t="s">
        <v>258</v>
      </c>
    </row>
    <row r="338" spans="1:2" x14ac:dyDescent="0.2">
      <c r="A338" s="622" t="s">
        <v>262</v>
      </c>
      <c r="B338" s="591" t="s">
        <v>260</v>
      </c>
    </row>
    <row r="339" spans="1:2" x14ac:dyDescent="0.2">
      <c r="A339" s="622" t="s">
        <v>263</v>
      </c>
      <c r="B339" s="591" t="s">
        <v>266</v>
      </c>
    </row>
    <row r="340" spans="1:2" x14ac:dyDescent="0.2">
      <c r="A340" s="622" t="s">
        <v>267</v>
      </c>
      <c r="B340" s="591" t="s">
        <v>271</v>
      </c>
    </row>
    <row r="341" spans="1:2" x14ac:dyDescent="0.2">
      <c r="A341" s="622" t="s">
        <v>272</v>
      </c>
      <c r="B341" s="591" t="s">
        <v>266</v>
      </c>
    </row>
    <row r="342" spans="1:2" x14ac:dyDescent="0.2">
      <c r="A342" s="622" t="s">
        <v>278</v>
      </c>
      <c r="B342" s="591" t="s">
        <v>271</v>
      </c>
    </row>
    <row r="343" spans="1:2" x14ac:dyDescent="0.2">
      <c r="A343" s="623" t="s">
        <v>279</v>
      </c>
      <c r="B343" s="624" t="s">
        <v>280</v>
      </c>
    </row>
    <row r="344" spans="1:2" x14ac:dyDescent="0.2">
      <c r="A344" s="623" t="s">
        <v>281</v>
      </c>
      <c r="B344" s="624" t="s">
        <v>282</v>
      </c>
    </row>
    <row r="345" spans="1:2" x14ac:dyDescent="0.2">
      <c r="A345" s="622" t="s">
        <v>283</v>
      </c>
      <c r="B345" s="591" t="s">
        <v>284</v>
      </c>
    </row>
    <row r="346" spans="1:2" x14ac:dyDescent="0.2">
      <c r="A346" s="622" t="s">
        <v>285</v>
      </c>
      <c r="B346" s="591" t="s">
        <v>286</v>
      </c>
    </row>
    <row r="347" spans="1:2" x14ac:dyDescent="0.2">
      <c r="A347" s="622" t="s">
        <v>287</v>
      </c>
      <c r="B347" s="591" t="s">
        <v>284</v>
      </c>
    </row>
    <row r="348" spans="1:2" x14ac:dyDescent="0.2">
      <c r="A348" s="622" t="s">
        <v>288</v>
      </c>
      <c r="B348" s="591" t="s">
        <v>286</v>
      </c>
    </row>
    <row r="349" spans="1:2" x14ac:dyDescent="0.2">
      <c r="A349" s="622" t="s">
        <v>289</v>
      </c>
      <c r="B349" s="591" t="s">
        <v>290</v>
      </c>
    </row>
    <row r="350" spans="1:2" x14ac:dyDescent="0.2">
      <c r="A350" s="622" t="s">
        <v>291</v>
      </c>
      <c r="B350" s="591" t="s">
        <v>292</v>
      </c>
    </row>
    <row r="351" spans="1:2" x14ac:dyDescent="0.2">
      <c r="A351" s="622" t="s">
        <v>293</v>
      </c>
      <c r="B351" s="591" t="s">
        <v>290</v>
      </c>
    </row>
    <row r="352" spans="1:2" x14ac:dyDescent="0.2">
      <c r="A352" s="622" t="s">
        <v>294</v>
      </c>
      <c r="B352" s="591" t="s">
        <v>292</v>
      </c>
    </row>
    <row r="353" spans="1:2" x14ac:dyDescent="0.2">
      <c r="A353" s="622" t="s">
        <v>295</v>
      </c>
      <c r="B353" s="591" t="s">
        <v>296</v>
      </c>
    </row>
    <row r="354" spans="1:2" x14ac:dyDescent="0.2">
      <c r="A354" s="622" t="s">
        <v>297</v>
      </c>
      <c r="B354" s="591" t="s">
        <v>298</v>
      </c>
    </row>
    <row r="355" spans="1:2" x14ac:dyDescent="0.2">
      <c r="A355" s="622" t="s">
        <v>299</v>
      </c>
      <c r="B355" s="591" t="s">
        <v>296</v>
      </c>
    </row>
    <row r="356" spans="1:2" x14ac:dyDescent="0.2">
      <c r="A356" s="622" t="s">
        <v>300</v>
      </c>
      <c r="B356" s="591" t="s">
        <v>298</v>
      </c>
    </row>
    <row r="357" spans="1:2" x14ac:dyDescent="0.2">
      <c r="A357" s="622" t="s">
        <v>301</v>
      </c>
      <c r="B357" s="591" t="s">
        <v>302</v>
      </c>
    </row>
    <row r="358" spans="1:2" x14ac:dyDescent="0.2">
      <c r="A358" s="622" t="s">
        <v>303</v>
      </c>
      <c r="B358" s="591" t="s">
        <v>304</v>
      </c>
    </row>
    <row r="359" spans="1:2" x14ac:dyDescent="0.2">
      <c r="A359" s="622" t="s">
        <v>305</v>
      </c>
      <c r="B359" s="591" t="s">
        <v>302</v>
      </c>
    </row>
    <row r="360" spans="1:2" x14ac:dyDescent="0.2">
      <c r="A360" s="622" t="s">
        <v>306</v>
      </c>
      <c r="B360" s="591" t="s">
        <v>304</v>
      </c>
    </row>
    <row r="361" spans="1:2" x14ac:dyDescent="0.2">
      <c r="A361" s="622" t="s">
        <v>307</v>
      </c>
      <c r="B361" s="591" t="s">
        <v>315</v>
      </c>
    </row>
    <row r="362" spans="1:2" x14ac:dyDescent="0.2">
      <c r="A362" s="622" t="s">
        <v>316</v>
      </c>
      <c r="B362" s="591" t="s">
        <v>317</v>
      </c>
    </row>
    <row r="363" spans="1:2" x14ac:dyDescent="0.2">
      <c r="A363" s="622" t="s">
        <v>318</v>
      </c>
      <c r="B363" s="591" t="s">
        <v>315</v>
      </c>
    </row>
    <row r="364" spans="1:2" x14ac:dyDescent="0.2">
      <c r="A364" s="622" t="s">
        <v>319</v>
      </c>
      <c r="B364" s="591" t="s">
        <v>317</v>
      </c>
    </row>
    <row r="365" spans="1:2" x14ac:dyDescent="0.2">
      <c r="A365" s="622" t="s">
        <v>320</v>
      </c>
      <c r="B365" s="591" t="s">
        <v>321</v>
      </c>
    </row>
    <row r="366" spans="1:2" x14ac:dyDescent="0.2">
      <c r="A366" s="622" t="s">
        <v>322</v>
      </c>
      <c r="B366" s="591" t="s">
        <v>323</v>
      </c>
    </row>
    <row r="367" spans="1:2" x14ac:dyDescent="0.2">
      <c r="A367" s="622" t="s">
        <v>324</v>
      </c>
      <c r="B367" s="591" t="s">
        <v>321</v>
      </c>
    </row>
    <row r="368" spans="1:2" x14ac:dyDescent="0.2">
      <c r="A368" s="622" t="s">
        <v>325</v>
      </c>
      <c r="B368" s="591" t="s">
        <v>323</v>
      </c>
    </row>
    <row r="369" spans="1:2" x14ac:dyDescent="0.2">
      <c r="A369" s="622" t="s">
        <v>326</v>
      </c>
      <c r="B369" s="591" t="s">
        <v>327</v>
      </c>
    </row>
    <row r="370" spans="1:2" x14ac:dyDescent="0.2">
      <c r="A370" s="622" t="s">
        <v>328</v>
      </c>
      <c r="B370" s="591" t="s">
        <v>329</v>
      </c>
    </row>
    <row r="371" spans="1:2" x14ac:dyDescent="0.2">
      <c r="A371" s="622" t="s">
        <v>330</v>
      </c>
      <c r="B371" s="591" t="s">
        <v>327</v>
      </c>
    </row>
    <row r="372" spans="1:2" x14ac:dyDescent="0.2">
      <c r="A372" s="622" t="s">
        <v>331</v>
      </c>
      <c r="B372" s="591" t="s">
        <v>329</v>
      </c>
    </row>
    <row r="373" spans="1:2" x14ac:dyDescent="0.2">
      <c r="A373" s="622" t="s">
        <v>332</v>
      </c>
      <c r="B373" s="591" t="s">
        <v>333</v>
      </c>
    </row>
    <row r="374" spans="1:2" x14ac:dyDescent="0.2">
      <c r="A374" s="622" t="s">
        <v>334</v>
      </c>
      <c r="B374" s="591" t="s">
        <v>335</v>
      </c>
    </row>
    <row r="375" spans="1:2" x14ac:dyDescent="0.2">
      <c r="A375" s="622" t="s">
        <v>336</v>
      </c>
      <c r="B375" s="591" t="s">
        <v>333</v>
      </c>
    </row>
    <row r="376" spans="1:2" x14ac:dyDescent="0.2">
      <c r="A376" s="622" t="s">
        <v>337</v>
      </c>
      <c r="B376" s="591" t="s">
        <v>335</v>
      </c>
    </row>
    <row r="377" spans="1:2" x14ac:dyDescent="0.2">
      <c r="A377" s="622" t="s">
        <v>338</v>
      </c>
      <c r="B377" s="591" t="s">
        <v>339</v>
      </c>
    </row>
    <row r="378" spans="1:2" x14ac:dyDescent="0.2">
      <c r="A378" s="622" t="s">
        <v>340</v>
      </c>
      <c r="B378" s="591" t="s">
        <v>341</v>
      </c>
    </row>
    <row r="379" spans="1:2" x14ac:dyDescent="0.2">
      <c r="A379" s="622" t="s">
        <v>342</v>
      </c>
      <c r="B379" s="591" t="s">
        <v>339</v>
      </c>
    </row>
    <row r="380" spans="1:2" x14ac:dyDescent="0.2">
      <c r="A380" s="622" t="s">
        <v>343</v>
      </c>
      <c r="B380" s="591" t="s">
        <v>341</v>
      </c>
    </row>
    <row r="381" spans="1:2" x14ac:dyDescent="0.2">
      <c r="A381" s="622" t="s">
        <v>344</v>
      </c>
      <c r="B381" s="591" t="s">
        <v>345</v>
      </c>
    </row>
    <row r="382" spans="1:2" x14ac:dyDescent="0.2">
      <c r="A382" s="622" t="s">
        <v>346</v>
      </c>
      <c r="B382" s="591" t="s">
        <v>347</v>
      </c>
    </row>
    <row r="383" spans="1:2" x14ac:dyDescent="0.2">
      <c r="A383" s="622" t="s">
        <v>348</v>
      </c>
      <c r="B383" s="591" t="s">
        <v>345</v>
      </c>
    </row>
    <row r="384" spans="1:2" x14ac:dyDescent="0.2">
      <c r="A384" s="622" t="s">
        <v>349</v>
      </c>
      <c r="B384" s="591" t="s">
        <v>347</v>
      </c>
    </row>
    <row r="385" spans="1:2" x14ac:dyDescent="0.2">
      <c r="A385" s="622" t="s">
        <v>350</v>
      </c>
      <c r="B385" s="591" t="s">
        <v>351</v>
      </c>
    </row>
    <row r="386" spans="1:2" x14ac:dyDescent="0.2">
      <c r="A386" s="622" t="s">
        <v>352</v>
      </c>
      <c r="B386" s="591" t="s">
        <v>353</v>
      </c>
    </row>
    <row r="387" spans="1:2" x14ac:dyDescent="0.2">
      <c r="A387" s="622" t="s">
        <v>354</v>
      </c>
      <c r="B387" s="591" t="s">
        <v>351</v>
      </c>
    </row>
    <row r="388" spans="1:2" x14ac:dyDescent="0.2">
      <c r="A388" s="622" t="s">
        <v>355</v>
      </c>
      <c r="B388" s="591" t="s">
        <v>353</v>
      </c>
    </row>
    <row r="389" spans="1:2" x14ac:dyDescent="0.2">
      <c r="A389" s="622" t="s">
        <v>356</v>
      </c>
      <c r="B389" s="591" t="s">
        <v>357</v>
      </c>
    </row>
    <row r="390" spans="1:2" x14ac:dyDescent="0.2">
      <c r="A390" s="622" t="s">
        <v>358</v>
      </c>
      <c r="B390" s="591" t="s">
        <v>359</v>
      </c>
    </row>
    <row r="391" spans="1:2" x14ac:dyDescent="0.2">
      <c r="A391" s="622" t="s">
        <v>360</v>
      </c>
      <c r="B391" s="591" t="s">
        <v>357</v>
      </c>
    </row>
    <row r="392" spans="1:2" x14ac:dyDescent="0.2">
      <c r="A392" s="622" t="s">
        <v>361</v>
      </c>
      <c r="B392" s="591" t="s">
        <v>359</v>
      </c>
    </row>
    <row r="393" spans="1:2" x14ac:dyDescent="0.2">
      <c r="A393" s="623" t="s">
        <v>362</v>
      </c>
      <c r="B393" s="624" t="s">
        <v>363</v>
      </c>
    </row>
    <row r="394" spans="1:2" x14ac:dyDescent="0.2">
      <c r="A394" s="623" t="s">
        <v>364</v>
      </c>
      <c r="B394" s="624" t="s">
        <v>365</v>
      </c>
    </row>
    <row r="395" spans="1:2" x14ac:dyDescent="0.2">
      <c r="A395" s="622" t="s">
        <v>366</v>
      </c>
      <c r="B395" s="591" t="s">
        <v>367</v>
      </c>
    </row>
    <row r="396" spans="1:2" x14ac:dyDescent="0.2">
      <c r="A396" s="622" t="s">
        <v>368</v>
      </c>
      <c r="B396" s="591" t="s">
        <v>369</v>
      </c>
    </row>
    <row r="397" spans="1:2" x14ac:dyDescent="0.2">
      <c r="A397" s="622" t="s">
        <v>370</v>
      </c>
      <c r="B397" s="591" t="s">
        <v>367</v>
      </c>
    </row>
    <row r="398" spans="1:2" x14ac:dyDescent="0.2">
      <c r="A398" s="622" t="s">
        <v>371</v>
      </c>
      <c r="B398" s="591" t="s">
        <v>369</v>
      </c>
    </row>
    <row r="399" spans="1:2" x14ac:dyDescent="0.2">
      <c r="A399" s="622" t="s">
        <v>372</v>
      </c>
      <c r="B399" s="591" t="s">
        <v>373</v>
      </c>
    </row>
    <row r="400" spans="1:2" x14ac:dyDescent="0.2">
      <c r="A400" s="622" t="s">
        <v>374</v>
      </c>
      <c r="B400" s="591" t="s">
        <v>375</v>
      </c>
    </row>
    <row r="401" spans="1:2" x14ac:dyDescent="0.2">
      <c r="A401" s="622" t="s">
        <v>376</v>
      </c>
      <c r="B401" s="591" t="s">
        <v>373</v>
      </c>
    </row>
    <row r="402" spans="1:2" x14ac:dyDescent="0.2">
      <c r="A402" s="622" t="s">
        <v>377</v>
      </c>
      <c r="B402" s="591" t="s">
        <v>375</v>
      </c>
    </row>
    <row r="403" spans="1:2" x14ac:dyDescent="0.2">
      <c r="A403" s="622" t="s">
        <v>378</v>
      </c>
      <c r="B403" s="591" t="s">
        <v>379</v>
      </c>
    </row>
    <row r="404" spans="1:2" x14ac:dyDescent="0.2">
      <c r="A404" s="622" t="s">
        <v>380</v>
      </c>
      <c r="B404" s="591" t="s">
        <v>381</v>
      </c>
    </row>
    <row r="405" spans="1:2" x14ac:dyDescent="0.2">
      <c r="A405" s="622" t="s">
        <v>382</v>
      </c>
      <c r="B405" s="591" t="s">
        <v>379</v>
      </c>
    </row>
    <row r="406" spans="1:2" x14ac:dyDescent="0.2">
      <c r="A406" s="622" t="s">
        <v>383</v>
      </c>
      <c r="B406" s="591" t="s">
        <v>381</v>
      </c>
    </row>
    <row r="407" spans="1:2" x14ac:dyDescent="0.2">
      <c r="A407" s="622" t="s">
        <v>386</v>
      </c>
      <c r="B407" s="591" t="s">
        <v>387</v>
      </c>
    </row>
    <row r="408" spans="1:2" x14ac:dyDescent="0.2">
      <c r="A408" s="622" t="s">
        <v>388</v>
      </c>
      <c r="B408" s="591" t="s">
        <v>389</v>
      </c>
    </row>
    <row r="409" spans="1:2" x14ac:dyDescent="0.2">
      <c r="A409" s="622" t="s">
        <v>390</v>
      </c>
      <c r="B409" s="591" t="s">
        <v>387</v>
      </c>
    </row>
    <row r="410" spans="1:2" x14ac:dyDescent="0.2">
      <c r="A410" s="622" t="s">
        <v>391</v>
      </c>
      <c r="B410" s="591" t="s">
        <v>389</v>
      </c>
    </row>
    <row r="411" spans="1:2" x14ac:dyDescent="0.2">
      <c r="A411" s="622" t="s">
        <v>392</v>
      </c>
      <c r="B411" s="591" t="s">
        <v>393</v>
      </c>
    </row>
    <row r="412" spans="1:2" x14ac:dyDescent="0.2">
      <c r="A412" s="622" t="s">
        <v>394</v>
      </c>
      <c r="B412" s="591" t="s">
        <v>395</v>
      </c>
    </row>
    <row r="413" spans="1:2" x14ac:dyDescent="0.2">
      <c r="A413" s="622" t="s">
        <v>396</v>
      </c>
      <c r="B413" s="591" t="s">
        <v>393</v>
      </c>
    </row>
    <row r="414" spans="1:2" x14ac:dyDescent="0.2">
      <c r="A414" s="622" t="s">
        <v>397</v>
      </c>
      <c r="B414" s="591" t="s">
        <v>395</v>
      </c>
    </row>
    <row r="415" spans="1:2" x14ac:dyDescent="0.2">
      <c r="A415" s="622" t="s">
        <v>398</v>
      </c>
      <c r="B415" s="591" t="s">
        <v>399</v>
      </c>
    </row>
    <row r="416" spans="1:2" x14ac:dyDescent="0.2">
      <c r="A416" s="622" t="s">
        <v>400</v>
      </c>
      <c r="B416" s="591" t="s">
        <v>401</v>
      </c>
    </row>
    <row r="417" spans="1:2" x14ac:dyDescent="0.2">
      <c r="A417" s="622" t="s">
        <v>402</v>
      </c>
      <c r="B417" s="591" t="s">
        <v>399</v>
      </c>
    </row>
    <row r="418" spans="1:2" x14ac:dyDescent="0.2">
      <c r="A418" s="622" t="s">
        <v>403</v>
      </c>
      <c r="B418" s="591" t="s">
        <v>401</v>
      </c>
    </row>
    <row r="419" spans="1:2" x14ac:dyDescent="0.2">
      <c r="A419" s="622" t="s">
        <v>404</v>
      </c>
      <c r="B419" s="591" t="s">
        <v>405</v>
      </c>
    </row>
    <row r="420" spans="1:2" x14ac:dyDescent="0.2">
      <c r="A420" s="622" t="s">
        <v>406</v>
      </c>
      <c r="B420" s="591" t="s">
        <v>407</v>
      </c>
    </row>
    <row r="421" spans="1:2" x14ac:dyDescent="0.2">
      <c r="A421" s="622" t="s">
        <v>408</v>
      </c>
      <c r="B421" s="591" t="s">
        <v>405</v>
      </c>
    </row>
    <row r="422" spans="1:2" x14ac:dyDescent="0.2">
      <c r="A422" s="622" t="s">
        <v>409</v>
      </c>
      <c r="B422" s="591" t="s">
        <v>407</v>
      </c>
    </row>
    <row r="423" spans="1:2" x14ac:dyDescent="0.2">
      <c r="A423" s="622" t="s">
        <v>410</v>
      </c>
      <c r="B423" s="591" t="s">
        <v>411</v>
      </c>
    </row>
    <row r="424" spans="1:2" x14ac:dyDescent="0.2">
      <c r="A424" s="622" t="s">
        <v>412</v>
      </c>
      <c r="B424" s="591" t="s">
        <v>413</v>
      </c>
    </row>
    <row r="425" spans="1:2" x14ac:dyDescent="0.2">
      <c r="A425" s="622" t="s">
        <v>414</v>
      </c>
      <c r="B425" s="591" t="s">
        <v>411</v>
      </c>
    </row>
    <row r="426" spans="1:2" x14ac:dyDescent="0.2">
      <c r="A426" s="622" t="s">
        <v>415</v>
      </c>
      <c r="B426" s="591" t="s">
        <v>413</v>
      </c>
    </row>
    <row r="427" spans="1:2" x14ac:dyDescent="0.2">
      <c r="A427" s="622" t="s">
        <v>416</v>
      </c>
      <c r="B427" s="591" t="s">
        <v>417</v>
      </c>
    </row>
    <row r="428" spans="1:2" x14ac:dyDescent="0.2">
      <c r="A428" s="622" t="s">
        <v>418</v>
      </c>
      <c r="B428" s="591" t="s">
        <v>419</v>
      </c>
    </row>
    <row r="429" spans="1:2" x14ac:dyDescent="0.2">
      <c r="A429" s="622" t="s">
        <v>420</v>
      </c>
      <c r="B429" s="591" t="s">
        <v>417</v>
      </c>
    </row>
    <row r="430" spans="1:2" x14ac:dyDescent="0.2">
      <c r="A430" s="622" t="s">
        <v>421</v>
      </c>
      <c r="B430" s="591" t="s">
        <v>419</v>
      </c>
    </row>
    <row r="431" spans="1:2" x14ac:dyDescent="0.2">
      <c r="A431" s="622" t="s">
        <v>422</v>
      </c>
      <c r="B431" s="591" t="s">
        <v>423</v>
      </c>
    </row>
    <row r="432" spans="1:2" x14ac:dyDescent="0.2">
      <c r="A432" s="622" t="s">
        <v>424</v>
      </c>
      <c r="B432" s="591" t="s">
        <v>425</v>
      </c>
    </row>
    <row r="433" spans="1:2" x14ac:dyDescent="0.2">
      <c r="A433" s="622" t="s">
        <v>426</v>
      </c>
      <c r="B433" s="591" t="s">
        <v>423</v>
      </c>
    </row>
    <row r="434" spans="1:2" x14ac:dyDescent="0.2">
      <c r="A434" s="622" t="s">
        <v>427</v>
      </c>
      <c r="B434" s="591" t="s">
        <v>425</v>
      </c>
    </row>
    <row r="435" spans="1:2" x14ac:dyDescent="0.2">
      <c r="A435" s="622" t="s">
        <v>428</v>
      </c>
      <c r="B435" s="591" t="s">
        <v>429</v>
      </c>
    </row>
    <row r="436" spans="1:2" x14ac:dyDescent="0.2">
      <c r="A436" s="622" t="s">
        <v>430</v>
      </c>
      <c r="B436" s="591" t="s">
        <v>431</v>
      </c>
    </row>
    <row r="437" spans="1:2" x14ac:dyDescent="0.2">
      <c r="A437" s="622" t="s">
        <v>432</v>
      </c>
      <c r="B437" s="591" t="s">
        <v>429</v>
      </c>
    </row>
    <row r="438" spans="1:2" x14ac:dyDescent="0.2">
      <c r="A438" s="622" t="s">
        <v>433</v>
      </c>
      <c r="B438" s="591" t="s">
        <v>431</v>
      </c>
    </row>
    <row r="439" spans="1:2" x14ac:dyDescent="0.2">
      <c r="A439" s="622" t="s">
        <v>434</v>
      </c>
      <c r="B439" s="591" t="s">
        <v>435</v>
      </c>
    </row>
    <row r="440" spans="1:2" x14ac:dyDescent="0.2">
      <c r="A440" s="622" t="s">
        <v>436</v>
      </c>
      <c r="B440" s="591" t="s">
        <v>437</v>
      </c>
    </row>
    <row r="441" spans="1:2" x14ac:dyDescent="0.2">
      <c r="A441" s="622" t="s">
        <v>438</v>
      </c>
      <c r="B441" s="591" t="s">
        <v>435</v>
      </c>
    </row>
    <row r="442" spans="1:2" x14ac:dyDescent="0.2">
      <c r="A442" s="622" t="s">
        <v>439</v>
      </c>
      <c r="B442" s="591" t="s">
        <v>437</v>
      </c>
    </row>
    <row r="443" spans="1:2" x14ac:dyDescent="0.2">
      <c r="A443" s="623" t="s">
        <v>440</v>
      </c>
      <c r="B443" s="624" t="s">
        <v>441</v>
      </c>
    </row>
    <row r="444" spans="1:2" x14ac:dyDescent="0.2">
      <c r="A444" s="623" t="s">
        <v>442</v>
      </c>
      <c r="B444" s="624" t="s">
        <v>443</v>
      </c>
    </row>
    <row r="445" spans="1:2" x14ac:dyDescent="0.2">
      <c r="A445" s="622" t="s">
        <v>444</v>
      </c>
      <c r="B445" s="591" t="s">
        <v>445</v>
      </c>
    </row>
    <row r="446" spans="1:2" x14ac:dyDescent="0.2">
      <c r="A446" s="622" t="s">
        <v>446</v>
      </c>
      <c r="B446" s="591" t="s">
        <v>447</v>
      </c>
    </row>
    <row r="447" spans="1:2" x14ac:dyDescent="0.2">
      <c r="A447" s="622" t="s">
        <v>448</v>
      </c>
      <c r="B447" s="591" t="s">
        <v>445</v>
      </c>
    </row>
    <row r="448" spans="1:2" x14ac:dyDescent="0.2">
      <c r="A448" s="622" t="s">
        <v>449</v>
      </c>
      <c r="B448" s="591" t="s">
        <v>447</v>
      </c>
    </row>
    <row r="449" spans="1:2" x14ac:dyDescent="0.2">
      <c r="A449" s="622" t="s">
        <v>450</v>
      </c>
      <c r="B449" s="591" t="s">
        <v>451</v>
      </c>
    </row>
    <row r="450" spans="1:2" x14ac:dyDescent="0.2">
      <c r="A450" s="622" t="s">
        <v>452</v>
      </c>
      <c r="B450" s="591" t="s">
        <v>453</v>
      </c>
    </row>
    <row r="451" spans="1:2" x14ac:dyDescent="0.2">
      <c r="A451" s="622" t="s">
        <v>454</v>
      </c>
      <c r="B451" s="591" t="s">
        <v>451</v>
      </c>
    </row>
    <row r="452" spans="1:2" x14ac:dyDescent="0.2">
      <c r="A452" s="622" t="s">
        <v>455</v>
      </c>
      <c r="B452" s="591" t="s">
        <v>453</v>
      </c>
    </row>
    <row r="453" spans="1:2" x14ac:dyDescent="0.2">
      <c r="A453" s="622" t="s">
        <v>456</v>
      </c>
      <c r="B453" s="591" t="s">
        <v>457</v>
      </c>
    </row>
    <row r="454" spans="1:2" x14ac:dyDescent="0.2">
      <c r="A454" s="622" t="s">
        <v>458</v>
      </c>
      <c r="B454" s="591" t="s">
        <v>459</v>
      </c>
    </row>
    <row r="455" spans="1:2" x14ac:dyDescent="0.2">
      <c r="A455" s="622" t="s">
        <v>460</v>
      </c>
      <c r="B455" s="591" t="s">
        <v>457</v>
      </c>
    </row>
    <row r="456" spans="1:2" x14ac:dyDescent="0.2">
      <c r="A456" s="622" t="s">
        <v>461</v>
      </c>
      <c r="B456" s="591" t="s">
        <v>459</v>
      </c>
    </row>
    <row r="457" spans="1:2" x14ac:dyDescent="0.2">
      <c r="A457" s="622" t="s">
        <v>462</v>
      </c>
      <c r="B457" s="591" t="s">
        <v>463</v>
      </c>
    </row>
    <row r="458" spans="1:2" x14ac:dyDescent="0.2">
      <c r="A458" s="622" t="s">
        <v>464</v>
      </c>
      <c r="B458" s="591" t="s">
        <v>465</v>
      </c>
    </row>
    <row r="459" spans="1:2" x14ac:dyDescent="0.2">
      <c r="A459" s="622" t="s">
        <v>466</v>
      </c>
      <c r="B459" s="591" t="s">
        <v>463</v>
      </c>
    </row>
    <row r="460" spans="1:2" x14ac:dyDescent="0.2">
      <c r="A460" s="622" t="s">
        <v>467</v>
      </c>
      <c r="B460" s="591" t="s">
        <v>465</v>
      </c>
    </row>
    <row r="461" spans="1:2" x14ac:dyDescent="0.2">
      <c r="A461" s="622" t="s">
        <v>468</v>
      </c>
      <c r="B461" s="591" t="s">
        <v>469</v>
      </c>
    </row>
    <row r="462" spans="1:2" x14ac:dyDescent="0.2">
      <c r="A462" s="622" t="s">
        <v>470</v>
      </c>
      <c r="B462" s="591" t="s">
        <v>471</v>
      </c>
    </row>
    <row r="463" spans="1:2" x14ac:dyDescent="0.2">
      <c r="A463" s="622" t="s">
        <v>472</v>
      </c>
      <c r="B463" s="591" t="s">
        <v>469</v>
      </c>
    </row>
    <row r="464" spans="1:2" x14ac:dyDescent="0.2">
      <c r="A464" s="622" t="s">
        <v>473</v>
      </c>
      <c r="B464" s="591" t="s">
        <v>471</v>
      </c>
    </row>
    <row r="465" spans="1:2" x14ac:dyDescent="0.2">
      <c r="A465" s="622" t="s">
        <v>474</v>
      </c>
      <c r="B465" s="591" t="s">
        <v>475</v>
      </c>
    </row>
    <row r="466" spans="1:2" x14ac:dyDescent="0.2">
      <c r="A466" s="622" t="s">
        <v>476</v>
      </c>
      <c r="B466" s="591" t="s">
        <v>477</v>
      </c>
    </row>
    <row r="467" spans="1:2" x14ac:dyDescent="0.2">
      <c r="A467" s="622" t="s">
        <v>478</v>
      </c>
      <c r="B467" s="591" t="s">
        <v>475</v>
      </c>
    </row>
    <row r="468" spans="1:2" x14ac:dyDescent="0.2">
      <c r="A468" s="622" t="s">
        <v>479</v>
      </c>
      <c r="B468" s="591" t="s">
        <v>477</v>
      </c>
    </row>
    <row r="469" spans="1:2" x14ac:dyDescent="0.2">
      <c r="A469" s="622" t="s">
        <v>480</v>
      </c>
      <c r="B469" s="591" t="s">
        <v>481</v>
      </c>
    </row>
    <row r="470" spans="1:2" x14ac:dyDescent="0.2">
      <c r="A470" s="622" t="s">
        <v>482</v>
      </c>
      <c r="B470" s="591" t="s">
        <v>483</v>
      </c>
    </row>
    <row r="471" spans="1:2" x14ac:dyDescent="0.2">
      <c r="A471" s="622" t="s">
        <v>484</v>
      </c>
      <c r="B471" s="591" t="s">
        <v>481</v>
      </c>
    </row>
    <row r="472" spans="1:2" x14ac:dyDescent="0.2">
      <c r="A472" s="622" t="s">
        <v>485</v>
      </c>
      <c r="B472" s="591" t="s">
        <v>483</v>
      </c>
    </row>
    <row r="473" spans="1:2" x14ac:dyDescent="0.2">
      <c r="A473" s="622" t="s">
        <v>486</v>
      </c>
      <c r="B473" s="591" t="s">
        <v>487</v>
      </c>
    </row>
    <row r="474" spans="1:2" x14ac:dyDescent="0.2">
      <c r="A474" s="622" t="s">
        <v>488</v>
      </c>
      <c r="B474" s="591" t="s">
        <v>489</v>
      </c>
    </row>
    <row r="475" spans="1:2" x14ac:dyDescent="0.2">
      <c r="A475" s="622" t="s">
        <v>490</v>
      </c>
      <c r="B475" s="591" t="s">
        <v>487</v>
      </c>
    </row>
    <row r="476" spans="1:2" x14ac:dyDescent="0.2">
      <c r="A476" s="622" t="s">
        <v>491</v>
      </c>
      <c r="B476" s="591" t="s">
        <v>489</v>
      </c>
    </row>
    <row r="477" spans="1:2" x14ac:dyDescent="0.2">
      <c r="A477" s="622" t="s">
        <v>492</v>
      </c>
      <c r="B477" s="591" t="s">
        <v>493</v>
      </c>
    </row>
    <row r="478" spans="1:2" x14ac:dyDescent="0.2">
      <c r="A478" s="622" t="s">
        <v>494</v>
      </c>
      <c r="B478" s="591" t="s">
        <v>495</v>
      </c>
    </row>
    <row r="479" spans="1:2" x14ac:dyDescent="0.2">
      <c r="A479" s="622" t="s">
        <v>496</v>
      </c>
      <c r="B479" s="591" t="s">
        <v>493</v>
      </c>
    </row>
    <row r="480" spans="1:2" x14ac:dyDescent="0.2">
      <c r="A480" s="622" t="s">
        <v>497</v>
      </c>
      <c r="B480" s="591" t="s">
        <v>495</v>
      </c>
    </row>
    <row r="481" spans="1:2" x14ac:dyDescent="0.2">
      <c r="A481" s="622" t="s">
        <v>498</v>
      </c>
      <c r="B481" s="591" t="s">
        <v>499</v>
      </c>
    </row>
    <row r="482" spans="1:2" x14ac:dyDescent="0.2">
      <c r="A482" s="622" t="s">
        <v>500</v>
      </c>
      <c r="B482" s="591" t="s">
        <v>501</v>
      </c>
    </row>
    <row r="483" spans="1:2" x14ac:dyDescent="0.2">
      <c r="A483" s="622" t="s">
        <v>502</v>
      </c>
      <c r="B483" s="591" t="s">
        <v>499</v>
      </c>
    </row>
    <row r="484" spans="1:2" x14ac:dyDescent="0.2">
      <c r="A484" s="622" t="s">
        <v>503</v>
      </c>
      <c r="B484" s="591" t="s">
        <v>501</v>
      </c>
    </row>
    <row r="485" spans="1:2" x14ac:dyDescent="0.2">
      <c r="A485" s="622" t="s">
        <v>504</v>
      </c>
      <c r="B485" s="591" t="s">
        <v>505</v>
      </c>
    </row>
    <row r="486" spans="1:2" x14ac:dyDescent="0.2">
      <c r="A486" s="622" t="s">
        <v>506</v>
      </c>
      <c r="B486" s="591" t="s">
        <v>507</v>
      </c>
    </row>
    <row r="487" spans="1:2" x14ac:dyDescent="0.2">
      <c r="A487" s="622" t="s">
        <v>508</v>
      </c>
      <c r="B487" s="591" t="s">
        <v>505</v>
      </c>
    </row>
    <row r="488" spans="1:2" x14ac:dyDescent="0.2">
      <c r="A488" s="622" t="s">
        <v>509</v>
      </c>
      <c r="B488" s="591" t="s">
        <v>507</v>
      </c>
    </row>
    <row r="489" spans="1:2" x14ac:dyDescent="0.2">
      <c r="A489" s="622" t="s">
        <v>510</v>
      </c>
      <c r="B489" s="591" t="s">
        <v>511</v>
      </c>
    </row>
    <row r="490" spans="1:2" x14ac:dyDescent="0.2">
      <c r="A490" s="622" t="s">
        <v>512</v>
      </c>
      <c r="B490" s="591" t="s">
        <v>513</v>
      </c>
    </row>
    <row r="491" spans="1:2" x14ac:dyDescent="0.2">
      <c r="A491" s="622" t="s">
        <v>514</v>
      </c>
      <c r="B491" s="591" t="s">
        <v>511</v>
      </c>
    </row>
    <row r="492" spans="1:2" x14ac:dyDescent="0.2">
      <c r="A492" s="622" t="s">
        <v>515</v>
      </c>
      <c r="B492" s="591" t="s">
        <v>513</v>
      </c>
    </row>
    <row r="493" spans="1:2" x14ac:dyDescent="0.2">
      <c r="A493" s="623" t="s">
        <v>516</v>
      </c>
      <c r="B493" s="624" t="s">
        <v>517</v>
      </c>
    </row>
    <row r="494" spans="1:2" x14ac:dyDescent="0.2">
      <c r="A494" s="623" t="s">
        <v>518</v>
      </c>
      <c r="B494" s="624" t="s">
        <v>519</v>
      </c>
    </row>
    <row r="495" spans="1:2" x14ac:dyDescent="0.2">
      <c r="A495" s="622" t="s">
        <v>520</v>
      </c>
      <c r="B495" s="591" t="s">
        <v>521</v>
      </c>
    </row>
    <row r="496" spans="1:2" x14ac:dyDescent="0.2">
      <c r="A496" s="622" t="s">
        <v>522</v>
      </c>
      <c r="B496" s="591" t="s">
        <v>523</v>
      </c>
    </row>
    <row r="497" spans="1:2" x14ac:dyDescent="0.2">
      <c r="A497" s="622" t="s">
        <v>524</v>
      </c>
      <c r="B497" s="591" t="s">
        <v>521</v>
      </c>
    </row>
    <row r="498" spans="1:2" x14ac:dyDescent="0.2">
      <c r="A498" s="622" t="s">
        <v>525</v>
      </c>
      <c r="B498" s="591" t="s">
        <v>523</v>
      </c>
    </row>
    <row r="499" spans="1:2" x14ac:dyDescent="0.2">
      <c r="A499" s="622" t="s">
        <v>526</v>
      </c>
      <c r="B499" s="591" t="s">
        <v>527</v>
      </c>
    </row>
    <row r="500" spans="1:2" x14ac:dyDescent="0.2">
      <c r="A500" s="622" t="s">
        <v>528</v>
      </c>
      <c r="B500" s="591" t="s">
        <v>529</v>
      </c>
    </row>
    <row r="501" spans="1:2" x14ac:dyDescent="0.2">
      <c r="A501" s="622" t="s">
        <v>530</v>
      </c>
      <c r="B501" s="591" t="s">
        <v>527</v>
      </c>
    </row>
    <row r="502" spans="1:2" x14ac:dyDescent="0.2">
      <c r="A502" s="622" t="s">
        <v>531</v>
      </c>
      <c r="B502" s="591" t="s">
        <v>529</v>
      </c>
    </row>
    <row r="503" spans="1:2" x14ac:dyDescent="0.2">
      <c r="A503" s="622" t="s">
        <v>532</v>
      </c>
      <c r="B503" s="591" t="s">
        <v>544</v>
      </c>
    </row>
    <row r="504" spans="1:2" x14ac:dyDescent="0.2">
      <c r="A504" s="622" t="s">
        <v>545</v>
      </c>
      <c r="B504" s="591" t="s">
        <v>546</v>
      </c>
    </row>
    <row r="505" spans="1:2" x14ac:dyDescent="0.2">
      <c r="A505" s="622" t="s">
        <v>547</v>
      </c>
      <c r="B505" s="591" t="s">
        <v>544</v>
      </c>
    </row>
    <row r="506" spans="1:2" x14ac:dyDescent="0.2">
      <c r="A506" s="622" t="s">
        <v>548</v>
      </c>
      <c r="B506" s="591" t="s">
        <v>546</v>
      </c>
    </row>
    <row r="507" spans="1:2" x14ac:dyDescent="0.2">
      <c r="A507" s="622" t="s">
        <v>549</v>
      </c>
      <c r="B507" s="591" t="s">
        <v>550</v>
      </c>
    </row>
    <row r="508" spans="1:2" x14ac:dyDescent="0.2">
      <c r="A508" s="622" t="s">
        <v>551</v>
      </c>
      <c r="B508" s="591" t="s">
        <v>552</v>
      </c>
    </row>
    <row r="509" spans="1:2" x14ac:dyDescent="0.2">
      <c r="A509" s="622" t="s">
        <v>553</v>
      </c>
      <c r="B509" s="591" t="s">
        <v>550</v>
      </c>
    </row>
    <row r="510" spans="1:2" x14ac:dyDescent="0.2">
      <c r="A510" s="622" t="s">
        <v>554</v>
      </c>
      <c r="B510" s="591" t="s">
        <v>552</v>
      </c>
    </row>
    <row r="511" spans="1:2" x14ac:dyDescent="0.2">
      <c r="A511" s="622" t="s">
        <v>555</v>
      </c>
      <c r="B511" s="591" t="s">
        <v>556</v>
      </c>
    </row>
    <row r="512" spans="1:2" x14ac:dyDescent="0.2">
      <c r="A512" s="622" t="s">
        <v>557</v>
      </c>
      <c r="B512" s="591" t="s">
        <v>560</v>
      </c>
    </row>
    <row r="513" spans="1:2" x14ac:dyDescent="0.2">
      <c r="A513" s="622" t="s">
        <v>561</v>
      </c>
      <c r="B513" s="591" t="s">
        <v>556</v>
      </c>
    </row>
    <row r="514" spans="1:2" x14ac:dyDescent="0.2">
      <c r="A514" s="622" t="s">
        <v>562</v>
      </c>
      <c r="B514" s="591" t="s">
        <v>560</v>
      </c>
    </row>
    <row r="515" spans="1:2" x14ac:dyDescent="0.2">
      <c r="A515" s="622" t="s">
        <v>563</v>
      </c>
      <c r="B515" s="591" t="s">
        <v>564</v>
      </c>
    </row>
    <row r="516" spans="1:2" x14ac:dyDescent="0.2">
      <c r="A516" s="622" t="s">
        <v>565</v>
      </c>
      <c r="B516" s="591" t="s">
        <v>566</v>
      </c>
    </row>
    <row r="517" spans="1:2" x14ac:dyDescent="0.2">
      <c r="A517" s="622" t="s">
        <v>567</v>
      </c>
      <c r="B517" s="591" t="s">
        <v>564</v>
      </c>
    </row>
    <row r="518" spans="1:2" x14ac:dyDescent="0.2">
      <c r="A518" s="622" t="s">
        <v>568</v>
      </c>
      <c r="B518" s="591" t="s">
        <v>566</v>
      </c>
    </row>
    <row r="519" spans="1:2" x14ac:dyDescent="0.2">
      <c r="A519" s="622" t="s">
        <v>569</v>
      </c>
      <c r="B519" s="591" t="s">
        <v>570</v>
      </c>
    </row>
    <row r="520" spans="1:2" x14ac:dyDescent="0.2">
      <c r="A520" s="622" t="s">
        <v>571</v>
      </c>
      <c r="B520" s="591" t="s">
        <v>572</v>
      </c>
    </row>
    <row r="521" spans="1:2" x14ac:dyDescent="0.2">
      <c r="A521" s="622" t="s">
        <v>573</v>
      </c>
      <c r="B521" s="591" t="s">
        <v>570</v>
      </c>
    </row>
    <row r="522" spans="1:2" x14ac:dyDescent="0.2">
      <c r="A522" s="622" t="s">
        <v>574</v>
      </c>
      <c r="B522" s="591" t="s">
        <v>572</v>
      </c>
    </row>
    <row r="523" spans="1:2" x14ac:dyDescent="0.2">
      <c r="A523" s="622" t="s">
        <v>575</v>
      </c>
      <c r="B523" s="591" t="s">
        <v>576</v>
      </c>
    </row>
    <row r="524" spans="1:2" x14ac:dyDescent="0.2">
      <c r="A524" s="622" t="s">
        <v>577</v>
      </c>
      <c r="B524" s="591" t="s">
        <v>578</v>
      </c>
    </row>
    <row r="525" spans="1:2" x14ac:dyDescent="0.2">
      <c r="A525" s="622" t="s">
        <v>579</v>
      </c>
      <c r="B525" s="591" t="s">
        <v>576</v>
      </c>
    </row>
    <row r="526" spans="1:2" x14ac:dyDescent="0.2">
      <c r="A526" s="622" t="s">
        <v>580</v>
      </c>
      <c r="B526" s="591" t="s">
        <v>578</v>
      </c>
    </row>
    <row r="527" spans="1:2" x14ac:dyDescent="0.2">
      <c r="A527" s="622" t="s">
        <v>581</v>
      </c>
      <c r="B527" s="591" t="s">
        <v>582</v>
      </c>
    </row>
    <row r="528" spans="1:2" x14ac:dyDescent="0.2">
      <c r="A528" s="622" t="s">
        <v>583</v>
      </c>
      <c r="B528" s="591" t="s">
        <v>584</v>
      </c>
    </row>
    <row r="529" spans="1:2" x14ac:dyDescent="0.2">
      <c r="A529" s="622" t="s">
        <v>585</v>
      </c>
      <c r="B529" s="591" t="s">
        <v>582</v>
      </c>
    </row>
    <row r="530" spans="1:2" x14ac:dyDescent="0.2">
      <c r="A530" s="622" t="s">
        <v>586</v>
      </c>
      <c r="B530" s="591" t="s">
        <v>584</v>
      </c>
    </row>
    <row r="531" spans="1:2" x14ac:dyDescent="0.2">
      <c r="A531" s="622" t="s">
        <v>587</v>
      </c>
      <c r="B531" s="591" t="s">
        <v>588</v>
      </c>
    </row>
    <row r="532" spans="1:2" x14ac:dyDescent="0.2">
      <c r="A532" s="622" t="s">
        <v>589</v>
      </c>
      <c r="B532" s="591" t="s">
        <v>590</v>
      </c>
    </row>
    <row r="533" spans="1:2" x14ac:dyDescent="0.2">
      <c r="A533" s="622" t="s">
        <v>591</v>
      </c>
      <c r="B533" s="591" t="s">
        <v>588</v>
      </c>
    </row>
    <row r="534" spans="1:2" x14ac:dyDescent="0.2">
      <c r="A534" s="622" t="s">
        <v>592</v>
      </c>
      <c r="B534" s="591" t="s">
        <v>590</v>
      </c>
    </row>
    <row r="535" spans="1:2" x14ac:dyDescent="0.2">
      <c r="A535" s="622" t="s">
        <v>593</v>
      </c>
      <c r="B535" s="591" t="s">
        <v>594</v>
      </c>
    </row>
    <row r="536" spans="1:2" x14ac:dyDescent="0.2">
      <c r="A536" s="622" t="s">
        <v>595</v>
      </c>
      <c r="B536" s="591" t="s">
        <v>596</v>
      </c>
    </row>
    <row r="537" spans="1:2" x14ac:dyDescent="0.2">
      <c r="A537" s="622" t="s">
        <v>597</v>
      </c>
      <c r="B537" s="591" t="s">
        <v>594</v>
      </c>
    </row>
    <row r="538" spans="1:2" x14ac:dyDescent="0.2">
      <c r="A538" s="622" t="s">
        <v>598</v>
      </c>
      <c r="B538" s="591" t="s">
        <v>596</v>
      </c>
    </row>
    <row r="539" spans="1:2" x14ac:dyDescent="0.2">
      <c r="A539" s="622" t="s">
        <v>599</v>
      </c>
      <c r="B539" s="591" t="s">
        <v>600</v>
      </c>
    </row>
    <row r="540" spans="1:2" x14ac:dyDescent="0.2">
      <c r="A540" s="622" t="s">
        <v>601</v>
      </c>
      <c r="B540" s="591" t="s">
        <v>602</v>
      </c>
    </row>
    <row r="541" spans="1:2" x14ac:dyDescent="0.2">
      <c r="A541" s="622" t="s">
        <v>603</v>
      </c>
      <c r="B541" s="591" t="s">
        <v>600</v>
      </c>
    </row>
    <row r="542" spans="1:2" x14ac:dyDescent="0.2">
      <c r="A542" s="622" t="s">
        <v>604</v>
      </c>
      <c r="B542" s="591" t="s">
        <v>602</v>
      </c>
    </row>
    <row r="543" spans="1:2" x14ac:dyDescent="0.2">
      <c r="A543" s="623" t="s">
        <v>605</v>
      </c>
      <c r="B543" s="624" t="s">
        <v>606</v>
      </c>
    </row>
    <row r="544" spans="1:2" x14ac:dyDescent="0.2">
      <c r="A544" s="623" t="s">
        <v>607</v>
      </c>
      <c r="B544" s="624" t="s">
        <v>608</v>
      </c>
    </row>
    <row r="545" spans="1:2" x14ac:dyDescent="0.2">
      <c r="A545" s="622" t="s">
        <v>609</v>
      </c>
      <c r="B545" s="591" t="s">
        <v>610</v>
      </c>
    </row>
    <row r="546" spans="1:2" x14ac:dyDescent="0.2">
      <c r="A546" s="622" t="s">
        <v>611</v>
      </c>
      <c r="B546" s="591" t="s">
        <v>629</v>
      </c>
    </row>
    <row r="547" spans="1:2" x14ac:dyDescent="0.2">
      <c r="A547" s="622" t="s">
        <v>630</v>
      </c>
      <c r="B547" s="591" t="s">
        <v>610</v>
      </c>
    </row>
    <row r="548" spans="1:2" x14ac:dyDescent="0.2">
      <c r="A548" s="622" t="s">
        <v>631</v>
      </c>
      <c r="B548" s="591" t="s">
        <v>629</v>
      </c>
    </row>
    <row r="549" spans="1:2" x14ac:dyDescent="0.2">
      <c r="A549" s="622" t="s">
        <v>632</v>
      </c>
      <c r="B549" s="591" t="s">
        <v>633</v>
      </c>
    </row>
    <row r="550" spans="1:2" x14ac:dyDescent="0.2">
      <c r="A550" s="622" t="s">
        <v>634</v>
      </c>
      <c r="B550" s="591" t="s">
        <v>635</v>
      </c>
    </row>
    <row r="551" spans="1:2" x14ac:dyDescent="0.2">
      <c r="A551" s="622" t="s">
        <v>636</v>
      </c>
      <c r="B551" s="591" t="s">
        <v>633</v>
      </c>
    </row>
    <row r="552" spans="1:2" x14ac:dyDescent="0.2">
      <c r="A552" s="622" t="s">
        <v>637</v>
      </c>
      <c r="B552" s="591" t="s">
        <v>635</v>
      </c>
    </row>
    <row r="553" spans="1:2" x14ac:dyDescent="0.2">
      <c r="A553" s="622" t="s">
        <v>638</v>
      </c>
      <c r="B553" s="591" t="s">
        <v>639</v>
      </c>
    </row>
    <row r="554" spans="1:2" x14ac:dyDescent="0.2">
      <c r="A554" s="622" t="s">
        <v>640</v>
      </c>
      <c r="B554" s="591" t="s">
        <v>641</v>
      </c>
    </row>
    <row r="555" spans="1:2" x14ac:dyDescent="0.2">
      <c r="A555" s="622" t="s">
        <v>642</v>
      </c>
      <c r="B555" s="591" t="s">
        <v>639</v>
      </c>
    </row>
    <row r="556" spans="1:2" x14ac:dyDescent="0.2">
      <c r="A556" s="622" t="s">
        <v>643</v>
      </c>
      <c r="B556" s="591" t="s">
        <v>641</v>
      </c>
    </row>
    <row r="557" spans="1:2" x14ac:dyDescent="0.2">
      <c r="A557" s="622" t="s">
        <v>644</v>
      </c>
      <c r="B557" s="591" t="s">
        <v>645</v>
      </c>
    </row>
    <row r="558" spans="1:2" x14ac:dyDescent="0.2">
      <c r="A558" s="622" t="s">
        <v>646</v>
      </c>
      <c r="B558" s="591" t="s">
        <v>647</v>
      </c>
    </row>
    <row r="559" spans="1:2" x14ac:dyDescent="0.2">
      <c r="A559" s="622" t="s">
        <v>648</v>
      </c>
      <c r="B559" s="591" t="s">
        <v>645</v>
      </c>
    </row>
    <row r="560" spans="1:2" x14ac:dyDescent="0.2">
      <c r="A560" s="622" t="s">
        <v>649</v>
      </c>
      <c r="B560" s="591" t="s">
        <v>647</v>
      </c>
    </row>
    <row r="561" spans="1:2" x14ac:dyDescent="0.2">
      <c r="A561" s="622" t="s">
        <v>650</v>
      </c>
      <c r="B561" s="591" t="s">
        <v>651</v>
      </c>
    </row>
    <row r="562" spans="1:2" x14ac:dyDescent="0.2">
      <c r="A562" s="622" t="s">
        <v>652</v>
      </c>
      <c r="B562" s="591" t="s">
        <v>653</v>
      </c>
    </row>
    <row r="563" spans="1:2" x14ac:dyDescent="0.2">
      <c r="A563" s="622" t="s">
        <v>654</v>
      </c>
      <c r="B563" s="591" t="s">
        <v>651</v>
      </c>
    </row>
    <row r="564" spans="1:2" x14ac:dyDescent="0.2">
      <c r="A564" s="622" t="s">
        <v>655</v>
      </c>
      <c r="B564" s="591" t="s">
        <v>653</v>
      </c>
    </row>
    <row r="565" spans="1:2" x14ac:dyDescent="0.2">
      <c r="A565" s="622" t="s">
        <v>656</v>
      </c>
      <c r="B565" s="591" t="s">
        <v>657</v>
      </c>
    </row>
    <row r="566" spans="1:2" x14ac:dyDescent="0.2">
      <c r="A566" s="622" t="s">
        <v>658</v>
      </c>
      <c r="B566" s="591" t="s">
        <v>659</v>
      </c>
    </row>
    <row r="567" spans="1:2" x14ac:dyDescent="0.2">
      <c r="A567" s="622" t="s">
        <v>660</v>
      </c>
      <c r="B567" s="591" t="s">
        <v>657</v>
      </c>
    </row>
    <row r="568" spans="1:2" x14ac:dyDescent="0.2">
      <c r="A568" s="622" t="s">
        <v>661</v>
      </c>
      <c r="B568" s="591" t="s">
        <v>659</v>
      </c>
    </row>
    <row r="569" spans="1:2" x14ac:dyDescent="0.2">
      <c r="A569" s="622" t="s">
        <v>683</v>
      </c>
      <c r="B569" s="591" t="s">
        <v>684</v>
      </c>
    </row>
    <row r="570" spans="1:2" x14ac:dyDescent="0.2">
      <c r="A570" s="622" t="s">
        <v>685</v>
      </c>
      <c r="B570" s="591" t="s">
        <v>686</v>
      </c>
    </row>
    <row r="571" spans="1:2" x14ac:dyDescent="0.2">
      <c r="A571" s="622" t="s">
        <v>687</v>
      </c>
      <c r="B571" s="591" t="s">
        <v>684</v>
      </c>
    </row>
    <row r="572" spans="1:2" x14ac:dyDescent="0.2">
      <c r="A572" s="622" t="s">
        <v>688</v>
      </c>
      <c r="B572" s="591" t="s">
        <v>686</v>
      </c>
    </row>
    <row r="573" spans="1:2" x14ac:dyDescent="0.2">
      <c r="A573" s="622" t="s">
        <v>689</v>
      </c>
      <c r="B573" s="591" t="s">
        <v>690</v>
      </c>
    </row>
    <row r="574" spans="1:2" x14ac:dyDescent="0.2">
      <c r="A574" s="622" t="s">
        <v>691</v>
      </c>
      <c r="B574" s="591" t="s">
        <v>692</v>
      </c>
    </row>
    <row r="575" spans="1:2" x14ac:dyDescent="0.2">
      <c r="A575" s="622" t="s">
        <v>693</v>
      </c>
      <c r="B575" s="591" t="s">
        <v>690</v>
      </c>
    </row>
    <row r="576" spans="1:2" x14ac:dyDescent="0.2">
      <c r="A576" s="622" t="s">
        <v>694</v>
      </c>
      <c r="B576" s="591" t="s">
        <v>692</v>
      </c>
    </row>
    <row r="577" spans="1:2" x14ac:dyDescent="0.2">
      <c r="A577" s="622" t="s">
        <v>695</v>
      </c>
      <c r="B577" s="591" t="s">
        <v>696</v>
      </c>
    </row>
    <row r="578" spans="1:2" x14ac:dyDescent="0.2">
      <c r="A578" s="622" t="s">
        <v>697</v>
      </c>
      <c r="B578" s="591" t="s">
        <v>699</v>
      </c>
    </row>
    <row r="579" spans="1:2" x14ac:dyDescent="0.2">
      <c r="A579" s="622" t="s">
        <v>700</v>
      </c>
      <c r="B579" s="591" t="s">
        <v>696</v>
      </c>
    </row>
    <row r="580" spans="1:2" x14ac:dyDescent="0.2">
      <c r="A580" s="622" t="s">
        <v>701</v>
      </c>
      <c r="B580" s="591" t="s">
        <v>699</v>
      </c>
    </row>
    <row r="581" spans="1:2" x14ac:dyDescent="0.2">
      <c r="A581" s="622" t="s">
        <v>702</v>
      </c>
      <c r="B581" s="591" t="s">
        <v>703</v>
      </c>
    </row>
    <row r="582" spans="1:2" x14ac:dyDescent="0.2">
      <c r="A582" s="622" t="s">
        <v>704</v>
      </c>
      <c r="B582" s="591" t="s">
        <v>705</v>
      </c>
    </row>
    <row r="583" spans="1:2" x14ac:dyDescent="0.2">
      <c r="A583" s="622" t="s">
        <v>706</v>
      </c>
      <c r="B583" s="591" t="s">
        <v>703</v>
      </c>
    </row>
    <row r="584" spans="1:2" x14ac:dyDescent="0.2">
      <c r="A584" s="622" t="s">
        <v>707</v>
      </c>
      <c r="B584" s="591" t="s">
        <v>705</v>
      </c>
    </row>
    <row r="585" spans="1:2" x14ac:dyDescent="0.2">
      <c r="A585" s="622" t="s">
        <v>708</v>
      </c>
      <c r="B585" s="591" t="s">
        <v>709</v>
      </c>
    </row>
    <row r="586" spans="1:2" x14ac:dyDescent="0.2">
      <c r="A586" s="622" t="s">
        <v>710</v>
      </c>
      <c r="B586" s="591" t="s">
        <v>711</v>
      </c>
    </row>
    <row r="587" spans="1:2" x14ac:dyDescent="0.2">
      <c r="A587" s="622" t="s">
        <v>712</v>
      </c>
      <c r="B587" s="591" t="s">
        <v>709</v>
      </c>
    </row>
    <row r="588" spans="1:2" x14ac:dyDescent="0.2">
      <c r="A588" s="622" t="s">
        <v>713</v>
      </c>
      <c r="B588" s="591" t="s">
        <v>711</v>
      </c>
    </row>
    <row r="589" spans="1:2" x14ac:dyDescent="0.2">
      <c r="A589" s="622" t="s">
        <v>714</v>
      </c>
      <c r="B589" s="591" t="s">
        <v>715</v>
      </c>
    </row>
    <row r="590" spans="1:2" x14ac:dyDescent="0.2">
      <c r="A590" s="622" t="s">
        <v>716</v>
      </c>
      <c r="B590" s="591" t="s">
        <v>717</v>
      </c>
    </row>
    <row r="591" spans="1:2" x14ac:dyDescent="0.2">
      <c r="A591" s="622" t="s">
        <v>718</v>
      </c>
      <c r="B591" s="591" t="s">
        <v>715</v>
      </c>
    </row>
    <row r="592" spans="1:2" x14ac:dyDescent="0.2">
      <c r="A592" s="622" t="s">
        <v>719</v>
      </c>
      <c r="B592" s="591" t="s">
        <v>717</v>
      </c>
    </row>
    <row r="593" spans="1:2" x14ac:dyDescent="0.2">
      <c r="A593" s="623" t="s">
        <v>725</v>
      </c>
      <c r="B593" s="624" t="s">
        <v>726</v>
      </c>
    </row>
    <row r="594" spans="1:2" x14ac:dyDescent="0.2">
      <c r="A594" s="623" t="s">
        <v>727</v>
      </c>
      <c r="B594" s="624" t="s">
        <v>728</v>
      </c>
    </row>
    <row r="595" spans="1:2" x14ac:dyDescent="0.2">
      <c r="A595" s="622" t="s">
        <v>729</v>
      </c>
      <c r="B595" s="591" t="s">
        <v>730</v>
      </c>
    </row>
    <row r="596" spans="1:2" x14ac:dyDescent="0.2">
      <c r="A596" s="622" t="s">
        <v>731</v>
      </c>
      <c r="B596" s="591" t="s">
        <v>732</v>
      </c>
    </row>
    <row r="597" spans="1:2" x14ac:dyDescent="0.2">
      <c r="A597" s="622" t="s">
        <v>733</v>
      </c>
      <c r="B597" s="591" t="s">
        <v>730</v>
      </c>
    </row>
    <row r="598" spans="1:2" x14ac:dyDescent="0.2">
      <c r="A598" s="622" t="s">
        <v>734</v>
      </c>
      <c r="B598" s="591" t="s">
        <v>732</v>
      </c>
    </row>
    <row r="599" spans="1:2" x14ac:dyDescent="0.2">
      <c r="A599" s="622" t="s">
        <v>735</v>
      </c>
      <c r="B599" s="591" t="s">
        <v>736</v>
      </c>
    </row>
    <row r="600" spans="1:2" x14ac:dyDescent="0.2">
      <c r="A600" s="622" t="s">
        <v>737</v>
      </c>
      <c r="B600" s="591" t="s">
        <v>738</v>
      </c>
    </row>
    <row r="601" spans="1:2" x14ac:dyDescent="0.2">
      <c r="A601" s="622" t="s">
        <v>739</v>
      </c>
      <c r="B601" s="591" t="s">
        <v>736</v>
      </c>
    </row>
    <row r="602" spans="1:2" x14ac:dyDescent="0.2">
      <c r="A602" s="622" t="s">
        <v>740</v>
      </c>
      <c r="B602" s="591" t="s">
        <v>738</v>
      </c>
    </row>
    <row r="603" spans="1:2" x14ac:dyDescent="0.2">
      <c r="A603" s="622" t="s">
        <v>741</v>
      </c>
      <c r="B603" s="591" t="s">
        <v>744</v>
      </c>
    </row>
    <row r="604" spans="1:2" x14ac:dyDescent="0.2">
      <c r="A604" s="622" t="s">
        <v>745</v>
      </c>
      <c r="B604" s="591" t="s">
        <v>746</v>
      </c>
    </row>
    <row r="605" spans="1:2" x14ac:dyDescent="0.2">
      <c r="A605" s="622" t="s">
        <v>747</v>
      </c>
      <c r="B605" s="591" t="s">
        <v>744</v>
      </c>
    </row>
    <row r="606" spans="1:2" x14ac:dyDescent="0.2">
      <c r="A606" s="622" t="s">
        <v>748</v>
      </c>
      <c r="B606" s="591" t="s">
        <v>746</v>
      </c>
    </row>
    <row r="607" spans="1:2" x14ac:dyDescent="0.2">
      <c r="A607" s="622" t="s">
        <v>749</v>
      </c>
      <c r="B607" s="591" t="s">
        <v>750</v>
      </c>
    </row>
    <row r="608" spans="1:2" x14ac:dyDescent="0.2">
      <c r="A608" s="622" t="s">
        <v>751</v>
      </c>
      <c r="B608" s="591" t="s">
        <v>752</v>
      </c>
    </row>
    <row r="609" spans="1:2" x14ac:dyDescent="0.2">
      <c r="A609" s="622" t="s">
        <v>753</v>
      </c>
      <c r="B609" s="591" t="s">
        <v>750</v>
      </c>
    </row>
    <row r="610" spans="1:2" x14ac:dyDescent="0.2">
      <c r="A610" s="622" t="s">
        <v>754</v>
      </c>
      <c r="B610" s="591" t="s">
        <v>752</v>
      </c>
    </row>
    <row r="611" spans="1:2" x14ac:dyDescent="0.2">
      <c r="A611" s="622" t="s">
        <v>755</v>
      </c>
      <c r="B611" s="591" t="s">
        <v>756</v>
      </c>
    </row>
    <row r="612" spans="1:2" x14ac:dyDescent="0.2">
      <c r="A612" s="622" t="s">
        <v>757</v>
      </c>
      <c r="B612" s="591" t="s">
        <v>758</v>
      </c>
    </row>
    <row r="613" spans="1:2" x14ac:dyDescent="0.2">
      <c r="A613" s="622" t="s">
        <v>759</v>
      </c>
      <c r="B613" s="591" t="s">
        <v>756</v>
      </c>
    </row>
    <row r="614" spans="1:2" x14ac:dyDescent="0.2">
      <c r="A614" s="622" t="s">
        <v>760</v>
      </c>
      <c r="B614" s="591" t="s">
        <v>758</v>
      </c>
    </row>
    <row r="615" spans="1:2" x14ac:dyDescent="0.2">
      <c r="A615" s="622" t="s">
        <v>761</v>
      </c>
      <c r="B615" s="591" t="s">
        <v>762</v>
      </c>
    </row>
    <row r="616" spans="1:2" x14ac:dyDescent="0.2">
      <c r="A616" s="622" t="s">
        <v>763</v>
      </c>
      <c r="B616" s="591" t="s">
        <v>764</v>
      </c>
    </row>
    <row r="617" spans="1:2" x14ac:dyDescent="0.2">
      <c r="A617" s="622" t="s">
        <v>765</v>
      </c>
      <c r="B617" s="591" t="s">
        <v>762</v>
      </c>
    </row>
    <row r="618" spans="1:2" x14ac:dyDescent="0.2">
      <c r="A618" s="622" t="s">
        <v>766</v>
      </c>
      <c r="B618" s="591" t="s">
        <v>764</v>
      </c>
    </row>
    <row r="619" spans="1:2" x14ac:dyDescent="0.2">
      <c r="A619" s="622" t="s">
        <v>767</v>
      </c>
      <c r="B619" s="591" t="s">
        <v>768</v>
      </c>
    </row>
    <row r="620" spans="1:2" x14ac:dyDescent="0.2">
      <c r="A620" s="622" t="s">
        <v>769</v>
      </c>
      <c r="B620" s="591" t="s">
        <v>770</v>
      </c>
    </row>
    <row r="621" spans="1:2" x14ac:dyDescent="0.2">
      <c r="A621" s="622" t="s">
        <v>771</v>
      </c>
      <c r="B621" s="591" t="s">
        <v>768</v>
      </c>
    </row>
    <row r="622" spans="1:2" x14ac:dyDescent="0.2">
      <c r="A622" s="622" t="s">
        <v>772</v>
      </c>
      <c r="B622" s="591" t="s">
        <v>770</v>
      </c>
    </row>
    <row r="623" spans="1:2" x14ac:dyDescent="0.2">
      <c r="A623" s="622" t="s">
        <v>773</v>
      </c>
      <c r="B623" s="591" t="s">
        <v>774</v>
      </c>
    </row>
    <row r="624" spans="1:2" x14ac:dyDescent="0.2">
      <c r="A624" s="622" t="s">
        <v>776</v>
      </c>
      <c r="B624" s="591" t="s">
        <v>777</v>
      </c>
    </row>
    <row r="625" spans="1:2" x14ac:dyDescent="0.2">
      <c r="A625" s="622" t="s">
        <v>778</v>
      </c>
      <c r="B625" s="591" t="s">
        <v>774</v>
      </c>
    </row>
    <row r="626" spans="1:2" x14ac:dyDescent="0.2">
      <c r="A626" s="622" t="s">
        <v>779</v>
      </c>
      <c r="B626" s="591" t="s">
        <v>777</v>
      </c>
    </row>
    <row r="627" spans="1:2" x14ac:dyDescent="0.2">
      <c r="A627" s="622" t="s">
        <v>780</v>
      </c>
      <c r="B627" s="591" t="s">
        <v>781</v>
      </c>
    </row>
    <row r="628" spans="1:2" x14ac:dyDescent="0.2">
      <c r="A628" s="622" t="s">
        <v>782</v>
      </c>
      <c r="B628" s="591" t="s">
        <v>783</v>
      </c>
    </row>
    <row r="629" spans="1:2" x14ac:dyDescent="0.2">
      <c r="A629" s="622" t="s">
        <v>784</v>
      </c>
      <c r="B629" s="591" t="s">
        <v>781</v>
      </c>
    </row>
    <row r="630" spans="1:2" x14ac:dyDescent="0.2">
      <c r="A630" s="622" t="s">
        <v>785</v>
      </c>
      <c r="B630" s="591" t="s">
        <v>783</v>
      </c>
    </row>
    <row r="631" spans="1:2" x14ac:dyDescent="0.2">
      <c r="A631" s="622" t="s">
        <v>786</v>
      </c>
      <c r="B631" s="591" t="s">
        <v>787</v>
      </c>
    </row>
    <row r="632" spans="1:2" x14ac:dyDescent="0.2">
      <c r="A632" s="622" t="s">
        <v>788</v>
      </c>
      <c r="B632" s="591" t="s">
        <v>789</v>
      </c>
    </row>
    <row r="633" spans="1:2" x14ac:dyDescent="0.2">
      <c r="A633" s="622" t="s">
        <v>790</v>
      </c>
      <c r="B633" s="591" t="s">
        <v>787</v>
      </c>
    </row>
    <row r="634" spans="1:2" x14ac:dyDescent="0.2">
      <c r="A634" s="622" t="s">
        <v>791</v>
      </c>
      <c r="B634" s="591" t="s">
        <v>789</v>
      </c>
    </row>
    <row r="635" spans="1:2" x14ac:dyDescent="0.2">
      <c r="A635" s="622" t="s">
        <v>792</v>
      </c>
      <c r="B635" s="591" t="s">
        <v>793</v>
      </c>
    </row>
    <row r="636" spans="1:2" x14ac:dyDescent="0.2">
      <c r="A636" s="622" t="s">
        <v>794</v>
      </c>
      <c r="B636" s="591" t="s">
        <v>795</v>
      </c>
    </row>
    <row r="637" spans="1:2" x14ac:dyDescent="0.2">
      <c r="A637" s="622" t="s">
        <v>796</v>
      </c>
      <c r="B637" s="591" t="s">
        <v>793</v>
      </c>
    </row>
    <row r="638" spans="1:2" x14ac:dyDescent="0.2">
      <c r="A638" s="622" t="s">
        <v>797</v>
      </c>
      <c r="B638" s="591" t="s">
        <v>795</v>
      </c>
    </row>
    <row r="639" spans="1:2" x14ac:dyDescent="0.2">
      <c r="A639" s="622" t="s">
        <v>798</v>
      </c>
      <c r="B639" s="591" t="s">
        <v>799</v>
      </c>
    </row>
    <row r="640" spans="1:2" x14ac:dyDescent="0.2">
      <c r="A640" s="622" t="s">
        <v>800</v>
      </c>
      <c r="B640" s="591" t="s">
        <v>802</v>
      </c>
    </row>
    <row r="641" spans="1:2" x14ac:dyDescent="0.2">
      <c r="A641" s="622" t="s">
        <v>803</v>
      </c>
      <c r="B641" s="591" t="s">
        <v>799</v>
      </c>
    </row>
    <row r="642" spans="1:2" x14ac:dyDescent="0.2">
      <c r="A642" s="622" t="s">
        <v>804</v>
      </c>
      <c r="B642" s="591" t="s">
        <v>802</v>
      </c>
    </row>
    <row r="643" spans="1:2" x14ac:dyDescent="0.2">
      <c r="A643" s="623" t="s">
        <v>805</v>
      </c>
      <c r="B643" s="624" t="s">
        <v>806</v>
      </c>
    </row>
    <row r="644" spans="1:2" x14ac:dyDescent="0.2">
      <c r="A644" s="623" t="s">
        <v>807</v>
      </c>
      <c r="B644" s="624" t="s">
        <v>808</v>
      </c>
    </row>
    <row r="645" spans="1:2" x14ac:dyDescent="0.2">
      <c r="A645" s="622" t="s">
        <v>809</v>
      </c>
      <c r="B645" s="591" t="s">
        <v>810</v>
      </c>
    </row>
    <row r="646" spans="1:2" x14ac:dyDescent="0.2">
      <c r="A646" s="622" t="s">
        <v>811</v>
      </c>
      <c r="B646" s="591" t="s">
        <v>812</v>
      </c>
    </row>
    <row r="647" spans="1:2" x14ac:dyDescent="0.2">
      <c r="A647" s="622" t="s">
        <v>813</v>
      </c>
      <c r="B647" s="591" t="s">
        <v>810</v>
      </c>
    </row>
    <row r="648" spans="1:2" x14ac:dyDescent="0.2">
      <c r="A648" s="622" t="s">
        <v>814</v>
      </c>
      <c r="B648" s="591" t="s">
        <v>812</v>
      </c>
    </row>
    <row r="649" spans="1:2" x14ac:dyDescent="0.2">
      <c r="A649" s="622" t="s">
        <v>815</v>
      </c>
      <c r="B649" s="591" t="s">
        <v>816</v>
      </c>
    </row>
    <row r="650" spans="1:2" x14ac:dyDescent="0.2">
      <c r="A650" s="622" t="s">
        <v>817</v>
      </c>
      <c r="B650" s="591" t="s">
        <v>818</v>
      </c>
    </row>
    <row r="651" spans="1:2" x14ac:dyDescent="0.2">
      <c r="A651" s="622" t="s">
        <v>819</v>
      </c>
      <c r="B651" s="591" t="s">
        <v>816</v>
      </c>
    </row>
    <row r="652" spans="1:2" x14ac:dyDescent="0.2">
      <c r="A652" s="622" t="s">
        <v>820</v>
      </c>
      <c r="B652" s="591" t="s">
        <v>818</v>
      </c>
    </row>
    <row r="653" spans="1:2" x14ac:dyDescent="0.2">
      <c r="A653" s="622" t="s">
        <v>821</v>
      </c>
      <c r="B653" s="591" t="s">
        <v>822</v>
      </c>
    </row>
    <row r="654" spans="1:2" x14ac:dyDescent="0.2">
      <c r="A654" s="622" t="s">
        <v>823</v>
      </c>
      <c r="B654" s="591" t="s">
        <v>824</v>
      </c>
    </row>
    <row r="655" spans="1:2" x14ac:dyDescent="0.2">
      <c r="A655" s="622" t="s">
        <v>825</v>
      </c>
      <c r="B655" s="591" t="s">
        <v>822</v>
      </c>
    </row>
    <row r="656" spans="1:2" x14ac:dyDescent="0.2">
      <c r="A656" s="622" t="s">
        <v>826</v>
      </c>
      <c r="B656" s="591" t="s">
        <v>824</v>
      </c>
    </row>
    <row r="657" spans="1:2" x14ac:dyDescent="0.2">
      <c r="A657" s="622" t="s">
        <v>827</v>
      </c>
      <c r="B657" s="591" t="s">
        <v>828</v>
      </c>
    </row>
    <row r="658" spans="1:2" x14ac:dyDescent="0.2">
      <c r="A658" s="622" t="s">
        <v>829</v>
      </c>
      <c r="B658" s="591" t="s">
        <v>830</v>
      </c>
    </row>
    <row r="659" spans="1:2" x14ac:dyDescent="0.2">
      <c r="A659" s="622" t="s">
        <v>831</v>
      </c>
      <c r="B659" s="591" t="s">
        <v>828</v>
      </c>
    </row>
    <row r="660" spans="1:2" x14ac:dyDescent="0.2">
      <c r="A660" s="622" t="s">
        <v>834</v>
      </c>
      <c r="B660" s="591" t="s">
        <v>830</v>
      </c>
    </row>
    <row r="661" spans="1:2" x14ac:dyDescent="0.2">
      <c r="A661" s="622" t="s">
        <v>835</v>
      </c>
      <c r="B661" s="591" t="s">
        <v>836</v>
      </c>
    </row>
    <row r="662" spans="1:2" x14ac:dyDescent="0.2">
      <c r="A662" s="622" t="s">
        <v>837</v>
      </c>
      <c r="B662" s="591" t="s">
        <v>838</v>
      </c>
    </row>
    <row r="663" spans="1:2" x14ac:dyDescent="0.2">
      <c r="A663" s="622" t="s">
        <v>839</v>
      </c>
      <c r="B663" s="591" t="s">
        <v>836</v>
      </c>
    </row>
    <row r="664" spans="1:2" x14ac:dyDescent="0.2">
      <c r="A664" s="622" t="s">
        <v>840</v>
      </c>
      <c r="B664" s="591" t="s">
        <v>838</v>
      </c>
    </row>
    <row r="665" spans="1:2" x14ac:dyDescent="0.2">
      <c r="A665" s="622" t="s">
        <v>841</v>
      </c>
      <c r="B665" s="591" t="s">
        <v>842</v>
      </c>
    </row>
    <row r="666" spans="1:2" x14ac:dyDescent="0.2">
      <c r="A666" s="622" t="s">
        <v>843</v>
      </c>
      <c r="B666" s="591" t="s">
        <v>844</v>
      </c>
    </row>
    <row r="667" spans="1:2" x14ac:dyDescent="0.2">
      <c r="A667" s="622" t="s">
        <v>845</v>
      </c>
      <c r="B667" s="591" t="s">
        <v>842</v>
      </c>
    </row>
    <row r="668" spans="1:2" x14ac:dyDescent="0.2">
      <c r="A668" s="622" t="s">
        <v>846</v>
      </c>
      <c r="B668" s="591" t="s">
        <v>844</v>
      </c>
    </row>
    <row r="669" spans="1:2" x14ac:dyDescent="0.2">
      <c r="A669" s="622" t="s">
        <v>847</v>
      </c>
      <c r="B669" s="591" t="s">
        <v>848</v>
      </c>
    </row>
    <row r="670" spans="1:2" x14ac:dyDescent="0.2">
      <c r="A670" s="622" t="s">
        <v>849</v>
      </c>
      <c r="B670" s="591" t="s">
        <v>850</v>
      </c>
    </row>
    <row r="671" spans="1:2" x14ac:dyDescent="0.2">
      <c r="A671" s="622" t="s">
        <v>851</v>
      </c>
      <c r="B671" s="591" t="s">
        <v>848</v>
      </c>
    </row>
    <row r="672" spans="1:2" x14ac:dyDescent="0.2">
      <c r="A672" s="622" t="s">
        <v>852</v>
      </c>
      <c r="B672" s="591" t="s">
        <v>850</v>
      </c>
    </row>
    <row r="673" spans="1:2" x14ac:dyDescent="0.2">
      <c r="A673" s="622" t="s">
        <v>853</v>
      </c>
      <c r="B673" s="591" t="s">
        <v>854</v>
      </c>
    </row>
    <row r="674" spans="1:2" x14ac:dyDescent="0.2">
      <c r="A674" s="622" t="s">
        <v>855</v>
      </c>
      <c r="B674" s="591" t="s">
        <v>856</v>
      </c>
    </row>
    <row r="675" spans="1:2" x14ac:dyDescent="0.2">
      <c r="A675" s="622" t="s">
        <v>857</v>
      </c>
      <c r="B675" s="591" t="s">
        <v>854</v>
      </c>
    </row>
    <row r="676" spans="1:2" x14ac:dyDescent="0.2">
      <c r="A676" s="622" t="s">
        <v>858</v>
      </c>
      <c r="B676" s="591" t="s">
        <v>856</v>
      </c>
    </row>
    <row r="677" spans="1:2" x14ac:dyDescent="0.2">
      <c r="A677" s="622" t="s">
        <v>859</v>
      </c>
      <c r="B677" s="591" t="s">
        <v>860</v>
      </c>
    </row>
    <row r="678" spans="1:2" x14ac:dyDescent="0.2">
      <c r="A678" s="622" t="s">
        <v>861</v>
      </c>
      <c r="B678" s="591" t="s">
        <v>862</v>
      </c>
    </row>
    <row r="679" spans="1:2" x14ac:dyDescent="0.2">
      <c r="A679" s="622" t="s">
        <v>863</v>
      </c>
      <c r="B679" s="591" t="s">
        <v>860</v>
      </c>
    </row>
    <row r="680" spans="1:2" x14ac:dyDescent="0.2">
      <c r="A680" s="622" t="s">
        <v>864</v>
      </c>
      <c r="B680" s="591" t="s">
        <v>862</v>
      </c>
    </row>
    <row r="681" spans="1:2" x14ac:dyDescent="0.2">
      <c r="A681" s="622" t="s">
        <v>865</v>
      </c>
      <c r="B681" s="591" t="s">
        <v>866</v>
      </c>
    </row>
    <row r="682" spans="1:2" x14ac:dyDescent="0.2">
      <c r="A682" s="622" t="s">
        <v>867</v>
      </c>
      <c r="B682" s="591" t="s">
        <v>868</v>
      </c>
    </row>
    <row r="683" spans="1:2" x14ac:dyDescent="0.2">
      <c r="A683" s="622" t="s">
        <v>869</v>
      </c>
      <c r="B683" s="591" t="s">
        <v>866</v>
      </c>
    </row>
    <row r="684" spans="1:2" x14ac:dyDescent="0.2">
      <c r="A684" s="622" t="s">
        <v>870</v>
      </c>
      <c r="B684" s="591" t="s">
        <v>868</v>
      </c>
    </row>
    <row r="685" spans="1:2" x14ac:dyDescent="0.2">
      <c r="A685" s="622" t="s">
        <v>871</v>
      </c>
      <c r="B685" s="591" t="s">
        <v>872</v>
      </c>
    </row>
    <row r="686" spans="1:2" x14ac:dyDescent="0.2">
      <c r="A686" s="622" t="s">
        <v>873</v>
      </c>
      <c r="B686" s="591" t="s">
        <v>874</v>
      </c>
    </row>
    <row r="687" spans="1:2" x14ac:dyDescent="0.2">
      <c r="A687" s="622" t="s">
        <v>875</v>
      </c>
      <c r="B687" s="591" t="s">
        <v>872</v>
      </c>
    </row>
    <row r="688" spans="1:2" x14ac:dyDescent="0.2">
      <c r="A688" s="622" t="s">
        <v>876</v>
      </c>
      <c r="B688" s="591" t="s">
        <v>874</v>
      </c>
    </row>
    <row r="689" spans="1:2" x14ac:dyDescent="0.2">
      <c r="A689" s="622" t="s">
        <v>877</v>
      </c>
      <c r="B689" s="591" t="s">
        <v>878</v>
      </c>
    </row>
    <row r="690" spans="1:2" x14ac:dyDescent="0.2">
      <c r="A690" s="622" t="s">
        <v>879</v>
      </c>
      <c r="B690" s="591" t="s">
        <v>880</v>
      </c>
    </row>
    <row r="691" spans="1:2" x14ac:dyDescent="0.2">
      <c r="A691" s="622" t="s">
        <v>881</v>
      </c>
      <c r="B691" s="591" t="s">
        <v>878</v>
      </c>
    </row>
    <row r="692" spans="1:2" x14ac:dyDescent="0.2">
      <c r="A692" s="622" t="s">
        <v>882</v>
      </c>
      <c r="B692" s="591" t="s">
        <v>880</v>
      </c>
    </row>
    <row r="693" spans="1:2" x14ac:dyDescent="0.2">
      <c r="A693" s="623" t="s">
        <v>883</v>
      </c>
      <c r="B693" s="624" t="s">
        <v>884</v>
      </c>
    </row>
    <row r="694" spans="1:2" x14ac:dyDescent="0.2">
      <c r="A694" s="623" t="s">
        <v>885</v>
      </c>
      <c r="B694" s="624" t="s">
        <v>886</v>
      </c>
    </row>
    <row r="695" spans="1:2" x14ac:dyDescent="0.2">
      <c r="A695" s="622" t="s">
        <v>887</v>
      </c>
      <c r="B695" s="591" t="s">
        <v>888</v>
      </c>
    </row>
    <row r="696" spans="1:2" x14ac:dyDescent="0.2">
      <c r="A696" s="622" t="s">
        <v>889</v>
      </c>
      <c r="B696" s="591" t="s">
        <v>890</v>
      </c>
    </row>
    <row r="697" spans="1:2" x14ac:dyDescent="0.2">
      <c r="A697" s="622" t="s">
        <v>891</v>
      </c>
      <c r="B697" s="591" t="s">
        <v>888</v>
      </c>
    </row>
    <row r="698" spans="1:2" x14ac:dyDescent="0.2">
      <c r="A698" s="622" t="s">
        <v>893</v>
      </c>
      <c r="B698" s="591" t="s">
        <v>890</v>
      </c>
    </row>
    <row r="699" spans="1:2" x14ac:dyDescent="0.2">
      <c r="A699" s="622" t="s">
        <v>894</v>
      </c>
      <c r="B699" s="591" t="s">
        <v>895</v>
      </c>
    </row>
    <row r="700" spans="1:2" x14ac:dyDescent="0.2">
      <c r="A700" s="622" t="s">
        <v>896</v>
      </c>
      <c r="B700" s="591" t="s">
        <v>897</v>
      </c>
    </row>
    <row r="701" spans="1:2" x14ac:dyDescent="0.2">
      <c r="A701" s="622" t="s">
        <v>898</v>
      </c>
      <c r="B701" s="591" t="s">
        <v>895</v>
      </c>
    </row>
    <row r="702" spans="1:2" x14ac:dyDescent="0.2">
      <c r="A702" s="622" t="s">
        <v>899</v>
      </c>
      <c r="B702" s="591" t="s">
        <v>897</v>
      </c>
    </row>
    <row r="703" spans="1:2" x14ac:dyDescent="0.2">
      <c r="A703" s="622" t="s">
        <v>900</v>
      </c>
      <c r="B703" s="591" t="s">
        <v>901</v>
      </c>
    </row>
    <row r="704" spans="1:2" x14ac:dyDescent="0.2">
      <c r="A704" s="622" t="s">
        <v>902</v>
      </c>
      <c r="B704" s="591" t="s">
        <v>903</v>
      </c>
    </row>
    <row r="705" spans="1:2" x14ac:dyDescent="0.2">
      <c r="A705" s="622" t="s">
        <v>904</v>
      </c>
      <c r="B705" s="591" t="s">
        <v>901</v>
      </c>
    </row>
    <row r="706" spans="1:2" x14ac:dyDescent="0.2">
      <c r="A706" s="622" t="s">
        <v>905</v>
      </c>
      <c r="B706" s="591" t="s">
        <v>903</v>
      </c>
    </row>
    <row r="707" spans="1:2" x14ac:dyDescent="0.2">
      <c r="A707" s="622" t="s">
        <v>906</v>
      </c>
      <c r="B707" s="591" t="s">
        <v>907</v>
      </c>
    </row>
    <row r="708" spans="1:2" x14ac:dyDescent="0.2">
      <c r="A708" s="622" t="s">
        <v>908</v>
      </c>
      <c r="B708" s="591" t="s">
        <v>909</v>
      </c>
    </row>
    <row r="709" spans="1:2" x14ac:dyDescent="0.2">
      <c r="A709" s="622" t="s">
        <v>910</v>
      </c>
      <c r="B709" s="591" t="s">
        <v>907</v>
      </c>
    </row>
    <row r="710" spans="1:2" x14ac:dyDescent="0.2">
      <c r="A710" s="622" t="s">
        <v>911</v>
      </c>
      <c r="B710" s="591" t="s">
        <v>909</v>
      </c>
    </row>
    <row r="711" spans="1:2" x14ac:dyDescent="0.2">
      <c r="A711" s="622" t="s">
        <v>912</v>
      </c>
      <c r="B711" s="591" t="s">
        <v>913</v>
      </c>
    </row>
    <row r="712" spans="1:2" x14ac:dyDescent="0.2">
      <c r="A712" s="622" t="s">
        <v>914</v>
      </c>
      <c r="B712" s="591" t="s">
        <v>915</v>
      </c>
    </row>
    <row r="713" spans="1:2" x14ac:dyDescent="0.2">
      <c r="A713" s="622" t="s">
        <v>916</v>
      </c>
      <c r="B713" s="591" t="s">
        <v>913</v>
      </c>
    </row>
    <row r="714" spans="1:2" x14ac:dyDescent="0.2">
      <c r="A714" s="622" t="s">
        <v>917</v>
      </c>
      <c r="B714" s="591" t="s">
        <v>915</v>
      </c>
    </row>
    <row r="715" spans="1:2" x14ac:dyDescent="0.2">
      <c r="A715" s="622" t="s">
        <v>918</v>
      </c>
      <c r="B715" s="591" t="s">
        <v>919</v>
      </c>
    </row>
    <row r="716" spans="1:2" x14ac:dyDescent="0.2">
      <c r="A716" s="622" t="s">
        <v>920</v>
      </c>
      <c r="B716" s="591" t="s">
        <v>921</v>
      </c>
    </row>
    <row r="717" spans="1:2" x14ac:dyDescent="0.2">
      <c r="A717" s="622" t="s">
        <v>922</v>
      </c>
      <c r="B717" s="591" t="s">
        <v>919</v>
      </c>
    </row>
    <row r="718" spans="1:2" x14ac:dyDescent="0.2">
      <c r="A718" s="622" t="s">
        <v>923</v>
      </c>
      <c r="B718" s="591" t="s">
        <v>921</v>
      </c>
    </row>
    <row r="719" spans="1:2" x14ac:dyDescent="0.2">
      <c r="A719" s="622" t="s">
        <v>924</v>
      </c>
      <c r="B719" s="591" t="s">
        <v>925</v>
      </c>
    </row>
    <row r="720" spans="1:2" x14ac:dyDescent="0.2">
      <c r="A720" s="622" t="s">
        <v>926</v>
      </c>
      <c r="B720" s="591" t="s">
        <v>927</v>
      </c>
    </row>
    <row r="721" spans="1:2" x14ac:dyDescent="0.2">
      <c r="A721" s="622" t="s">
        <v>928</v>
      </c>
      <c r="B721" s="591" t="s">
        <v>925</v>
      </c>
    </row>
    <row r="722" spans="1:2" x14ac:dyDescent="0.2">
      <c r="A722" s="622" t="s">
        <v>929</v>
      </c>
      <c r="B722" s="591" t="s">
        <v>927</v>
      </c>
    </row>
    <row r="723" spans="1:2" x14ac:dyDescent="0.2">
      <c r="A723" s="622" t="s">
        <v>930</v>
      </c>
      <c r="B723" s="591" t="s">
        <v>931</v>
      </c>
    </row>
    <row r="724" spans="1:2" x14ac:dyDescent="0.2">
      <c r="A724" s="622" t="s">
        <v>932</v>
      </c>
      <c r="B724" s="591" t="s">
        <v>933</v>
      </c>
    </row>
    <row r="725" spans="1:2" x14ac:dyDescent="0.2">
      <c r="A725" s="622" t="s">
        <v>934</v>
      </c>
      <c r="B725" s="591" t="s">
        <v>931</v>
      </c>
    </row>
    <row r="726" spans="1:2" x14ac:dyDescent="0.2">
      <c r="A726" s="622" t="s">
        <v>935</v>
      </c>
      <c r="B726" s="591" t="s">
        <v>933</v>
      </c>
    </row>
    <row r="727" spans="1:2" x14ac:dyDescent="0.2">
      <c r="A727" s="622" t="s">
        <v>936</v>
      </c>
      <c r="B727" s="591" t="s">
        <v>937</v>
      </c>
    </row>
    <row r="728" spans="1:2" x14ac:dyDescent="0.2">
      <c r="A728" s="622" t="s">
        <v>938</v>
      </c>
      <c r="B728" s="591" t="s">
        <v>939</v>
      </c>
    </row>
    <row r="729" spans="1:2" x14ac:dyDescent="0.2">
      <c r="A729" s="622" t="s">
        <v>940</v>
      </c>
      <c r="B729" s="591" t="s">
        <v>937</v>
      </c>
    </row>
    <row r="730" spans="1:2" x14ac:dyDescent="0.2">
      <c r="A730" s="622" t="s">
        <v>941</v>
      </c>
      <c r="B730" s="591" t="s">
        <v>939</v>
      </c>
    </row>
    <row r="731" spans="1:2" x14ac:dyDescent="0.2">
      <c r="A731" s="622" t="s">
        <v>942</v>
      </c>
      <c r="B731" s="591" t="s">
        <v>943</v>
      </c>
    </row>
    <row r="732" spans="1:2" x14ac:dyDescent="0.2">
      <c r="A732" s="622" t="s">
        <v>944</v>
      </c>
      <c r="B732" s="591" t="s">
        <v>945</v>
      </c>
    </row>
    <row r="733" spans="1:2" x14ac:dyDescent="0.2">
      <c r="A733" s="622" t="s">
        <v>946</v>
      </c>
      <c r="B733" s="591" t="s">
        <v>943</v>
      </c>
    </row>
    <row r="734" spans="1:2" x14ac:dyDescent="0.2">
      <c r="A734" s="622" t="s">
        <v>947</v>
      </c>
      <c r="B734" s="591" t="s">
        <v>945</v>
      </c>
    </row>
    <row r="735" spans="1:2" x14ac:dyDescent="0.2">
      <c r="A735" s="622" t="s">
        <v>948</v>
      </c>
      <c r="B735" s="591" t="s">
        <v>949</v>
      </c>
    </row>
    <row r="736" spans="1:2" x14ac:dyDescent="0.2">
      <c r="A736" s="622" t="s">
        <v>950</v>
      </c>
      <c r="B736" s="591" t="s">
        <v>951</v>
      </c>
    </row>
    <row r="737" spans="1:2" x14ac:dyDescent="0.2">
      <c r="A737" s="622" t="s">
        <v>952</v>
      </c>
      <c r="B737" s="591" t="s">
        <v>949</v>
      </c>
    </row>
    <row r="738" spans="1:2" x14ac:dyDescent="0.2">
      <c r="A738" s="622" t="s">
        <v>953</v>
      </c>
      <c r="B738" s="591" t="s">
        <v>951</v>
      </c>
    </row>
    <row r="739" spans="1:2" x14ac:dyDescent="0.2">
      <c r="A739" s="622" t="s">
        <v>954</v>
      </c>
      <c r="B739" s="591" t="s">
        <v>955</v>
      </c>
    </row>
    <row r="740" spans="1:2" x14ac:dyDescent="0.2">
      <c r="A740" s="622" t="s">
        <v>956</v>
      </c>
      <c r="B740" s="591" t="s">
        <v>957</v>
      </c>
    </row>
    <row r="741" spans="1:2" x14ac:dyDescent="0.2">
      <c r="A741" s="622" t="s">
        <v>958</v>
      </c>
      <c r="B741" s="591" t="s">
        <v>955</v>
      </c>
    </row>
    <row r="742" spans="1:2" x14ac:dyDescent="0.2">
      <c r="A742" s="622" t="s">
        <v>959</v>
      </c>
      <c r="B742" s="591" t="s">
        <v>957</v>
      </c>
    </row>
    <row r="743" spans="1:2" x14ac:dyDescent="0.2">
      <c r="A743" s="623" t="s">
        <v>960</v>
      </c>
      <c r="B743" s="624" t="s">
        <v>961</v>
      </c>
    </row>
    <row r="744" spans="1:2" x14ac:dyDescent="0.2">
      <c r="A744" s="623" t="s">
        <v>962</v>
      </c>
      <c r="B744" s="624" t="s">
        <v>963</v>
      </c>
    </row>
    <row r="745" spans="1:2" x14ac:dyDescent="0.2">
      <c r="A745" s="622">
        <v>11006001</v>
      </c>
      <c r="B745" s="591" t="s">
        <v>2198</v>
      </c>
    </row>
    <row r="746" spans="1:2" x14ac:dyDescent="0.2">
      <c r="A746" s="622">
        <v>11006005</v>
      </c>
      <c r="B746" s="591" t="s">
        <v>2199</v>
      </c>
    </row>
    <row r="747" spans="1:2" x14ac:dyDescent="0.2">
      <c r="A747" s="622">
        <v>11016001</v>
      </c>
      <c r="B747" s="591" t="s">
        <v>2198</v>
      </c>
    </row>
    <row r="748" spans="1:2" x14ac:dyDescent="0.2">
      <c r="A748" s="622">
        <v>11016005</v>
      </c>
      <c r="B748" s="591" t="s">
        <v>2199</v>
      </c>
    </row>
    <row r="749" spans="1:2" x14ac:dyDescent="0.2">
      <c r="A749" s="622">
        <v>11106001</v>
      </c>
      <c r="B749" s="591" t="s">
        <v>2200</v>
      </c>
    </row>
    <row r="750" spans="1:2" x14ac:dyDescent="0.2">
      <c r="A750" s="622">
        <v>11106005</v>
      </c>
      <c r="B750" s="591" t="s">
        <v>2201</v>
      </c>
    </row>
    <row r="751" spans="1:2" x14ac:dyDescent="0.2">
      <c r="A751" s="622">
        <v>11116001</v>
      </c>
      <c r="B751" s="591" t="s">
        <v>2200</v>
      </c>
    </row>
    <row r="752" spans="1:2" x14ac:dyDescent="0.2">
      <c r="A752" s="622">
        <v>11116005</v>
      </c>
      <c r="B752" s="591" t="s">
        <v>2201</v>
      </c>
    </row>
    <row r="753" spans="1:2" x14ac:dyDescent="0.2">
      <c r="A753" s="622">
        <v>11206001</v>
      </c>
      <c r="B753" s="591" t="s">
        <v>2202</v>
      </c>
    </row>
    <row r="754" spans="1:2" x14ac:dyDescent="0.2">
      <c r="A754" s="622">
        <v>11206005</v>
      </c>
      <c r="B754" s="591" t="s">
        <v>2203</v>
      </c>
    </row>
    <row r="755" spans="1:2" x14ac:dyDescent="0.2">
      <c r="A755" s="622">
        <v>11216001</v>
      </c>
      <c r="B755" s="591" t="s">
        <v>2202</v>
      </c>
    </row>
    <row r="756" spans="1:2" x14ac:dyDescent="0.2">
      <c r="A756" s="622">
        <v>11216005</v>
      </c>
      <c r="B756" s="591" t="s">
        <v>2203</v>
      </c>
    </row>
    <row r="757" spans="1:2" x14ac:dyDescent="0.2">
      <c r="A757" s="622">
        <v>12006001</v>
      </c>
      <c r="B757" s="591" t="s">
        <v>2204</v>
      </c>
    </row>
    <row r="758" spans="1:2" x14ac:dyDescent="0.2">
      <c r="A758" s="622">
        <v>12006005</v>
      </c>
      <c r="B758" s="591" t="s">
        <v>2205</v>
      </c>
    </row>
    <row r="759" spans="1:2" x14ac:dyDescent="0.2">
      <c r="A759" s="622">
        <v>12016001</v>
      </c>
      <c r="B759" s="591" t="s">
        <v>2204</v>
      </c>
    </row>
    <row r="760" spans="1:2" x14ac:dyDescent="0.2">
      <c r="A760" s="622">
        <v>12016005</v>
      </c>
      <c r="B760" s="591" t="s">
        <v>2205</v>
      </c>
    </row>
    <row r="761" spans="1:2" x14ac:dyDescent="0.2">
      <c r="A761" s="622">
        <v>12106001</v>
      </c>
      <c r="B761" s="591" t="s">
        <v>2206</v>
      </c>
    </row>
    <row r="762" spans="1:2" x14ac:dyDescent="0.2">
      <c r="A762" s="622">
        <v>12106005</v>
      </c>
      <c r="B762" s="591" t="s">
        <v>2207</v>
      </c>
    </row>
    <row r="763" spans="1:2" x14ac:dyDescent="0.2">
      <c r="A763" s="622">
        <v>12116001</v>
      </c>
      <c r="B763" s="591" t="s">
        <v>2206</v>
      </c>
    </row>
    <row r="764" spans="1:2" x14ac:dyDescent="0.2">
      <c r="A764" s="622">
        <v>12116005</v>
      </c>
      <c r="B764" s="591" t="s">
        <v>2207</v>
      </c>
    </row>
    <row r="765" spans="1:2" x14ac:dyDescent="0.2">
      <c r="A765" s="622">
        <v>12206001</v>
      </c>
      <c r="B765" s="591" t="s">
        <v>2208</v>
      </c>
    </row>
    <row r="766" spans="1:2" x14ac:dyDescent="0.2">
      <c r="A766" s="622">
        <v>12206005</v>
      </c>
      <c r="B766" s="591" t="s">
        <v>2209</v>
      </c>
    </row>
    <row r="767" spans="1:2" x14ac:dyDescent="0.2">
      <c r="A767" s="622">
        <v>12216001</v>
      </c>
      <c r="B767" s="591" t="s">
        <v>2208</v>
      </c>
    </row>
    <row r="768" spans="1:2" x14ac:dyDescent="0.2">
      <c r="A768" s="622">
        <v>12216005</v>
      </c>
      <c r="B768" s="591" t="s">
        <v>2209</v>
      </c>
    </row>
    <row r="769" spans="1:2" x14ac:dyDescent="0.2">
      <c r="A769" s="622">
        <v>21006001</v>
      </c>
      <c r="B769" s="591" t="s">
        <v>2210</v>
      </c>
    </row>
    <row r="770" spans="1:2" x14ac:dyDescent="0.2">
      <c r="A770" s="622">
        <v>21006005</v>
      </c>
      <c r="B770" s="591" t="s">
        <v>2211</v>
      </c>
    </row>
    <row r="771" spans="1:2" x14ac:dyDescent="0.2">
      <c r="A771" s="622">
        <v>21016001</v>
      </c>
      <c r="B771" s="591" t="s">
        <v>2210</v>
      </c>
    </row>
    <row r="772" spans="1:2" x14ac:dyDescent="0.2">
      <c r="A772" s="622">
        <v>21016005</v>
      </c>
      <c r="B772" s="591" t="s">
        <v>2211</v>
      </c>
    </row>
    <row r="773" spans="1:2" x14ac:dyDescent="0.2">
      <c r="A773" s="622">
        <v>21106001</v>
      </c>
      <c r="B773" s="591" t="s">
        <v>2212</v>
      </c>
    </row>
    <row r="774" spans="1:2" x14ac:dyDescent="0.2">
      <c r="A774" s="622">
        <v>21106005</v>
      </c>
      <c r="B774" s="591" t="s">
        <v>2213</v>
      </c>
    </row>
    <row r="775" spans="1:2" x14ac:dyDescent="0.2">
      <c r="A775" s="622">
        <v>21116001</v>
      </c>
      <c r="B775" s="591" t="s">
        <v>2212</v>
      </c>
    </row>
    <row r="776" spans="1:2" x14ac:dyDescent="0.2">
      <c r="A776" s="622">
        <v>21116005</v>
      </c>
      <c r="B776" s="591" t="s">
        <v>2213</v>
      </c>
    </row>
    <row r="777" spans="1:2" x14ac:dyDescent="0.2">
      <c r="A777" s="622">
        <v>21206001</v>
      </c>
      <c r="B777" s="591" t="s">
        <v>2214</v>
      </c>
    </row>
    <row r="778" spans="1:2" x14ac:dyDescent="0.2">
      <c r="A778" s="622">
        <v>21206005</v>
      </c>
      <c r="B778" s="591" t="s">
        <v>2215</v>
      </c>
    </row>
    <row r="779" spans="1:2" x14ac:dyDescent="0.2">
      <c r="A779" s="622">
        <v>21216001</v>
      </c>
      <c r="B779" s="591" t="s">
        <v>2214</v>
      </c>
    </row>
    <row r="780" spans="1:2" x14ac:dyDescent="0.2">
      <c r="A780" s="622">
        <v>21216005</v>
      </c>
      <c r="B780" s="591" t="s">
        <v>2215</v>
      </c>
    </row>
    <row r="781" spans="1:2" x14ac:dyDescent="0.2">
      <c r="A781" s="622">
        <v>22006001</v>
      </c>
      <c r="B781" s="591" t="s">
        <v>2216</v>
      </c>
    </row>
    <row r="782" spans="1:2" x14ac:dyDescent="0.2">
      <c r="A782" s="622">
        <v>22006005</v>
      </c>
      <c r="B782" s="591" t="s">
        <v>2217</v>
      </c>
    </row>
    <row r="783" spans="1:2" x14ac:dyDescent="0.2">
      <c r="A783" s="622">
        <v>22016001</v>
      </c>
      <c r="B783" s="591" t="s">
        <v>2216</v>
      </c>
    </row>
    <row r="784" spans="1:2" x14ac:dyDescent="0.2">
      <c r="A784" s="622">
        <v>22016005</v>
      </c>
      <c r="B784" s="591" t="s">
        <v>2217</v>
      </c>
    </row>
    <row r="785" spans="1:2" x14ac:dyDescent="0.2">
      <c r="A785" s="622">
        <v>22106001</v>
      </c>
      <c r="B785" s="591" t="s">
        <v>2218</v>
      </c>
    </row>
    <row r="786" spans="1:2" x14ac:dyDescent="0.2">
      <c r="A786" s="622">
        <v>22106005</v>
      </c>
      <c r="B786" s="591" t="s">
        <v>2219</v>
      </c>
    </row>
    <row r="787" spans="1:2" x14ac:dyDescent="0.2">
      <c r="A787" s="622">
        <v>22116001</v>
      </c>
      <c r="B787" s="591" t="s">
        <v>2218</v>
      </c>
    </row>
    <row r="788" spans="1:2" x14ac:dyDescent="0.2">
      <c r="A788" s="622">
        <v>22116005</v>
      </c>
      <c r="B788" s="591" t="s">
        <v>2219</v>
      </c>
    </row>
    <row r="789" spans="1:2" x14ac:dyDescent="0.2">
      <c r="A789" s="622">
        <v>22206001</v>
      </c>
      <c r="B789" s="591" t="s">
        <v>2220</v>
      </c>
    </row>
    <row r="790" spans="1:2" x14ac:dyDescent="0.2">
      <c r="A790" s="622">
        <v>22206005</v>
      </c>
      <c r="B790" s="591" t="s">
        <v>2221</v>
      </c>
    </row>
    <row r="791" spans="1:2" x14ac:dyDescent="0.2">
      <c r="A791" s="622">
        <v>22216001</v>
      </c>
      <c r="B791" s="591" t="s">
        <v>2220</v>
      </c>
    </row>
    <row r="792" spans="1:2" x14ac:dyDescent="0.2">
      <c r="A792" s="622">
        <v>22216005</v>
      </c>
      <c r="B792" s="591" t="s">
        <v>2221</v>
      </c>
    </row>
    <row r="793" spans="1:2" x14ac:dyDescent="0.2">
      <c r="A793" s="623">
        <v>50006001</v>
      </c>
      <c r="B793" s="624" t="s">
        <v>2222</v>
      </c>
    </row>
    <row r="794" spans="1:2" x14ac:dyDescent="0.2">
      <c r="A794" s="623">
        <v>50006005</v>
      </c>
      <c r="B794" s="624" t="s">
        <v>2223</v>
      </c>
    </row>
    <row r="795" spans="1:2" x14ac:dyDescent="0.2">
      <c r="A795" s="622">
        <v>11006101</v>
      </c>
      <c r="B795" s="591" t="s">
        <v>2224</v>
      </c>
    </row>
    <row r="796" spans="1:2" x14ac:dyDescent="0.2">
      <c r="A796" s="622">
        <v>11006105</v>
      </c>
      <c r="B796" s="591" t="s">
        <v>2225</v>
      </c>
    </row>
    <row r="797" spans="1:2" x14ac:dyDescent="0.2">
      <c r="A797" s="622">
        <v>11016101</v>
      </c>
      <c r="B797" s="591" t="s">
        <v>2224</v>
      </c>
    </row>
    <row r="798" spans="1:2" x14ac:dyDescent="0.2">
      <c r="A798" s="622">
        <v>11016105</v>
      </c>
      <c r="B798" s="591" t="s">
        <v>2225</v>
      </c>
    </row>
    <row r="799" spans="1:2" x14ac:dyDescent="0.2">
      <c r="A799" s="622">
        <v>11106101</v>
      </c>
      <c r="B799" s="591" t="s">
        <v>2226</v>
      </c>
    </row>
    <row r="800" spans="1:2" x14ac:dyDescent="0.2">
      <c r="A800" s="622">
        <v>11106105</v>
      </c>
      <c r="B800" s="591" t="s">
        <v>2227</v>
      </c>
    </row>
    <row r="801" spans="1:2" x14ac:dyDescent="0.2">
      <c r="A801" s="622">
        <v>11116101</v>
      </c>
      <c r="B801" s="591" t="s">
        <v>2226</v>
      </c>
    </row>
    <row r="802" spans="1:2" x14ac:dyDescent="0.2">
      <c r="A802" s="622">
        <v>11116105</v>
      </c>
      <c r="B802" s="591" t="s">
        <v>2227</v>
      </c>
    </row>
    <row r="803" spans="1:2" x14ac:dyDescent="0.2">
      <c r="A803" s="622">
        <v>11206101</v>
      </c>
      <c r="B803" s="591" t="s">
        <v>2228</v>
      </c>
    </row>
    <row r="804" spans="1:2" x14ac:dyDescent="0.2">
      <c r="A804" s="622">
        <v>11206105</v>
      </c>
      <c r="B804" s="591" t="s">
        <v>2229</v>
      </c>
    </row>
    <row r="805" spans="1:2" x14ac:dyDescent="0.2">
      <c r="A805" s="622">
        <v>11216101</v>
      </c>
      <c r="B805" s="591" t="s">
        <v>2228</v>
      </c>
    </row>
    <row r="806" spans="1:2" x14ac:dyDescent="0.2">
      <c r="A806" s="622">
        <v>11216105</v>
      </c>
      <c r="B806" s="591" t="s">
        <v>2229</v>
      </c>
    </row>
    <row r="807" spans="1:2" x14ac:dyDescent="0.2">
      <c r="A807" s="622">
        <v>12006101</v>
      </c>
      <c r="B807" s="591" t="s">
        <v>2230</v>
      </c>
    </row>
    <row r="808" spans="1:2" x14ac:dyDescent="0.2">
      <c r="A808" s="622">
        <v>12006105</v>
      </c>
      <c r="B808" s="591" t="s">
        <v>2231</v>
      </c>
    </row>
    <row r="809" spans="1:2" x14ac:dyDescent="0.2">
      <c r="A809" s="622">
        <v>12016101</v>
      </c>
      <c r="B809" s="591" t="s">
        <v>2230</v>
      </c>
    </row>
    <row r="810" spans="1:2" x14ac:dyDescent="0.2">
      <c r="A810" s="622">
        <v>12016105</v>
      </c>
      <c r="B810" s="591" t="s">
        <v>2231</v>
      </c>
    </row>
    <row r="811" spans="1:2" x14ac:dyDescent="0.2">
      <c r="A811" s="622">
        <v>12106101</v>
      </c>
      <c r="B811" s="591" t="s">
        <v>2232</v>
      </c>
    </row>
    <row r="812" spans="1:2" x14ac:dyDescent="0.2">
      <c r="A812" s="622">
        <v>12106105</v>
      </c>
      <c r="B812" s="591" t="s">
        <v>2233</v>
      </c>
    </row>
    <row r="813" spans="1:2" x14ac:dyDescent="0.2">
      <c r="A813" s="622">
        <v>12116101</v>
      </c>
      <c r="B813" s="591" t="s">
        <v>2232</v>
      </c>
    </row>
    <row r="814" spans="1:2" x14ac:dyDescent="0.2">
      <c r="A814" s="622">
        <v>12116105</v>
      </c>
      <c r="B814" s="591" t="s">
        <v>2233</v>
      </c>
    </row>
    <row r="815" spans="1:2" x14ac:dyDescent="0.2">
      <c r="A815" s="622">
        <v>12206101</v>
      </c>
      <c r="B815" s="591" t="s">
        <v>2234</v>
      </c>
    </row>
    <row r="816" spans="1:2" x14ac:dyDescent="0.2">
      <c r="A816" s="622">
        <v>12206105</v>
      </c>
      <c r="B816" s="591" t="s">
        <v>2235</v>
      </c>
    </row>
    <row r="817" spans="1:2" x14ac:dyDescent="0.2">
      <c r="A817" s="622">
        <v>12216101</v>
      </c>
      <c r="B817" s="591" t="s">
        <v>2234</v>
      </c>
    </row>
    <row r="818" spans="1:2" x14ac:dyDescent="0.2">
      <c r="A818" s="622">
        <v>12216105</v>
      </c>
      <c r="B818" s="591" t="s">
        <v>2235</v>
      </c>
    </row>
    <row r="819" spans="1:2" x14ac:dyDescent="0.2">
      <c r="A819" s="622">
        <v>21006101</v>
      </c>
      <c r="B819" s="591" t="s">
        <v>2236</v>
      </c>
    </row>
    <row r="820" spans="1:2" x14ac:dyDescent="0.2">
      <c r="A820" s="622">
        <v>21006105</v>
      </c>
      <c r="B820" s="591" t="s">
        <v>2237</v>
      </c>
    </row>
    <row r="821" spans="1:2" x14ac:dyDescent="0.2">
      <c r="A821" s="622">
        <v>21016101</v>
      </c>
      <c r="B821" s="591" t="s">
        <v>2236</v>
      </c>
    </row>
    <row r="822" spans="1:2" x14ac:dyDescent="0.2">
      <c r="A822" s="622">
        <v>21016105</v>
      </c>
      <c r="B822" s="591" t="s">
        <v>2237</v>
      </c>
    </row>
    <row r="823" spans="1:2" x14ac:dyDescent="0.2">
      <c r="A823" s="622">
        <v>21106101</v>
      </c>
      <c r="B823" s="591" t="s">
        <v>2238</v>
      </c>
    </row>
    <row r="824" spans="1:2" x14ac:dyDescent="0.2">
      <c r="A824" s="622">
        <v>21106105</v>
      </c>
      <c r="B824" s="591" t="s">
        <v>2239</v>
      </c>
    </row>
    <row r="825" spans="1:2" x14ac:dyDescent="0.2">
      <c r="A825" s="622">
        <v>21116101</v>
      </c>
      <c r="B825" s="591" t="s">
        <v>2238</v>
      </c>
    </row>
    <row r="826" spans="1:2" x14ac:dyDescent="0.2">
      <c r="A826" s="622">
        <v>21116105</v>
      </c>
      <c r="B826" s="591" t="s">
        <v>2239</v>
      </c>
    </row>
    <row r="827" spans="1:2" x14ac:dyDescent="0.2">
      <c r="A827" s="622">
        <v>21206101</v>
      </c>
      <c r="B827" s="591" t="s">
        <v>2240</v>
      </c>
    </row>
    <row r="828" spans="1:2" x14ac:dyDescent="0.2">
      <c r="A828" s="622">
        <v>21206105</v>
      </c>
      <c r="B828" s="591" t="s">
        <v>2241</v>
      </c>
    </row>
    <row r="829" spans="1:2" x14ac:dyDescent="0.2">
      <c r="A829" s="622">
        <v>21216101</v>
      </c>
      <c r="B829" s="591" t="s">
        <v>2240</v>
      </c>
    </row>
    <row r="830" spans="1:2" x14ac:dyDescent="0.2">
      <c r="A830" s="622">
        <v>21216105</v>
      </c>
      <c r="B830" s="591" t="s">
        <v>2241</v>
      </c>
    </row>
    <row r="831" spans="1:2" x14ac:dyDescent="0.2">
      <c r="A831" s="622">
        <v>22006101</v>
      </c>
      <c r="B831" s="591" t="s">
        <v>2242</v>
      </c>
    </row>
    <row r="832" spans="1:2" x14ac:dyDescent="0.2">
      <c r="A832" s="622">
        <v>22006105</v>
      </c>
      <c r="B832" s="591" t="s">
        <v>2243</v>
      </c>
    </row>
    <row r="833" spans="1:2" x14ac:dyDescent="0.2">
      <c r="A833" s="622">
        <v>22016101</v>
      </c>
      <c r="B833" s="591" t="s">
        <v>2242</v>
      </c>
    </row>
    <row r="834" spans="1:2" x14ac:dyDescent="0.2">
      <c r="A834" s="622">
        <v>22016105</v>
      </c>
      <c r="B834" s="591" t="s">
        <v>2243</v>
      </c>
    </row>
    <row r="835" spans="1:2" x14ac:dyDescent="0.2">
      <c r="A835" s="622">
        <v>22106101</v>
      </c>
      <c r="B835" s="591" t="s">
        <v>2244</v>
      </c>
    </row>
    <row r="836" spans="1:2" x14ac:dyDescent="0.2">
      <c r="A836" s="622">
        <v>22106105</v>
      </c>
      <c r="B836" s="591" t="s">
        <v>2245</v>
      </c>
    </row>
    <row r="837" spans="1:2" x14ac:dyDescent="0.2">
      <c r="A837" s="622">
        <v>22116101</v>
      </c>
      <c r="B837" s="591" t="s">
        <v>2244</v>
      </c>
    </row>
    <row r="838" spans="1:2" x14ac:dyDescent="0.2">
      <c r="A838" s="622">
        <v>22116105</v>
      </c>
      <c r="B838" s="591" t="s">
        <v>2245</v>
      </c>
    </row>
    <row r="839" spans="1:2" x14ac:dyDescent="0.2">
      <c r="A839" s="622">
        <v>22206101</v>
      </c>
      <c r="B839" s="591" t="s">
        <v>2246</v>
      </c>
    </row>
    <row r="840" spans="1:2" x14ac:dyDescent="0.2">
      <c r="A840" s="622">
        <v>22206105</v>
      </c>
      <c r="B840" s="591" t="s">
        <v>2247</v>
      </c>
    </row>
    <row r="841" spans="1:2" x14ac:dyDescent="0.2">
      <c r="A841" s="622">
        <v>22216101</v>
      </c>
      <c r="B841" s="591" t="s">
        <v>2246</v>
      </c>
    </row>
    <row r="842" spans="1:2" x14ac:dyDescent="0.2">
      <c r="A842" s="622">
        <v>22216105</v>
      </c>
      <c r="B842" s="591" t="s">
        <v>2247</v>
      </c>
    </row>
    <row r="843" spans="1:2" x14ac:dyDescent="0.2">
      <c r="A843" s="623">
        <v>50006101</v>
      </c>
      <c r="B843" s="624" t="s">
        <v>2248</v>
      </c>
    </row>
    <row r="844" spans="1:2" x14ac:dyDescent="0.2">
      <c r="A844" s="623">
        <v>50006105</v>
      </c>
      <c r="B844" s="624" t="s">
        <v>2249</v>
      </c>
    </row>
    <row r="845" spans="1:2" x14ac:dyDescent="0.2">
      <c r="A845" s="622">
        <v>11006201</v>
      </c>
      <c r="B845" s="591" t="s">
        <v>2250</v>
      </c>
    </row>
    <row r="846" spans="1:2" x14ac:dyDescent="0.2">
      <c r="A846" s="622">
        <v>11006205</v>
      </c>
      <c r="B846" s="591" t="s">
        <v>2251</v>
      </c>
    </row>
    <row r="847" spans="1:2" x14ac:dyDescent="0.2">
      <c r="A847" s="622">
        <v>11016201</v>
      </c>
      <c r="B847" s="591" t="s">
        <v>2250</v>
      </c>
    </row>
    <row r="848" spans="1:2" x14ac:dyDescent="0.2">
      <c r="A848" s="622">
        <v>11016205</v>
      </c>
      <c r="B848" s="591" t="s">
        <v>2251</v>
      </c>
    </row>
    <row r="849" spans="1:2" x14ac:dyDescent="0.2">
      <c r="A849" s="622">
        <v>11106201</v>
      </c>
      <c r="B849" s="591" t="s">
        <v>2252</v>
      </c>
    </row>
    <row r="850" spans="1:2" x14ac:dyDescent="0.2">
      <c r="A850" s="622">
        <v>11106205</v>
      </c>
      <c r="B850" s="591" t="s">
        <v>2253</v>
      </c>
    </row>
    <row r="851" spans="1:2" x14ac:dyDescent="0.2">
      <c r="A851" s="622">
        <v>11116201</v>
      </c>
      <c r="B851" s="591" t="s">
        <v>2252</v>
      </c>
    </row>
    <row r="852" spans="1:2" x14ac:dyDescent="0.2">
      <c r="A852" s="622">
        <v>11116205</v>
      </c>
      <c r="B852" s="591" t="s">
        <v>2253</v>
      </c>
    </row>
    <row r="853" spans="1:2" x14ac:dyDescent="0.2">
      <c r="A853" s="622">
        <v>11206201</v>
      </c>
      <c r="B853" s="591" t="s">
        <v>2254</v>
      </c>
    </row>
    <row r="854" spans="1:2" x14ac:dyDescent="0.2">
      <c r="A854" s="622">
        <v>11206205</v>
      </c>
      <c r="B854" s="591" t="s">
        <v>2255</v>
      </c>
    </row>
    <row r="855" spans="1:2" x14ac:dyDescent="0.2">
      <c r="A855" s="622">
        <v>11216201</v>
      </c>
      <c r="B855" s="591" t="s">
        <v>2254</v>
      </c>
    </row>
    <row r="856" spans="1:2" x14ac:dyDescent="0.2">
      <c r="A856" s="622">
        <v>11216205</v>
      </c>
      <c r="B856" s="591" t="s">
        <v>2255</v>
      </c>
    </row>
    <row r="857" spans="1:2" x14ac:dyDescent="0.2">
      <c r="A857" s="622">
        <v>12006201</v>
      </c>
      <c r="B857" s="591" t="s">
        <v>2256</v>
      </c>
    </row>
    <row r="858" spans="1:2" x14ac:dyDescent="0.2">
      <c r="A858" s="622">
        <v>12006205</v>
      </c>
      <c r="B858" s="591" t="s">
        <v>2257</v>
      </c>
    </row>
    <row r="859" spans="1:2" x14ac:dyDescent="0.2">
      <c r="A859" s="622">
        <v>12016201</v>
      </c>
      <c r="B859" s="591" t="s">
        <v>2256</v>
      </c>
    </row>
    <row r="860" spans="1:2" x14ac:dyDescent="0.2">
      <c r="A860" s="622">
        <v>12016205</v>
      </c>
      <c r="B860" s="591" t="s">
        <v>2257</v>
      </c>
    </row>
    <row r="861" spans="1:2" x14ac:dyDescent="0.2">
      <c r="A861" s="622">
        <v>12106201</v>
      </c>
      <c r="B861" s="591" t="s">
        <v>2258</v>
      </c>
    </row>
    <row r="862" spans="1:2" x14ac:dyDescent="0.2">
      <c r="A862" s="622">
        <v>12106205</v>
      </c>
      <c r="B862" s="591" t="s">
        <v>2259</v>
      </c>
    </row>
    <row r="863" spans="1:2" x14ac:dyDescent="0.2">
      <c r="A863" s="622">
        <v>12116201</v>
      </c>
      <c r="B863" s="591" t="s">
        <v>2258</v>
      </c>
    </row>
    <row r="864" spans="1:2" x14ac:dyDescent="0.2">
      <c r="A864" s="622">
        <v>12116205</v>
      </c>
      <c r="B864" s="591" t="s">
        <v>2259</v>
      </c>
    </row>
    <row r="865" spans="1:2" x14ac:dyDescent="0.2">
      <c r="A865" s="622">
        <v>12206201</v>
      </c>
      <c r="B865" s="591" t="s">
        <v>2260</v>
      </c>
    </row>
    <row r="866" spans="1:2" x14ac:dyDescent="0.2">
      <c r="A866" s="622">
        <v>12206205</v>
      </c>
      <c r="B866" s="591" t="s">
        <v>2261</v>
      </c>
    </row>
    <row r="867" spans="1:2" x14ac:dyDescent="0.2">
      <c r="A867" s="622">
        <v>12216201</v>
      </c>
      <c r="B867" s="591" t="s">
        <v>2260</v>
      </c>
    </row>
    <row r="868" spans="1:2" x14ac:dyDescent="0.2">
      <c r="A868" s="622">
        <v>12216205</v>
      </c>
      <c r="B868" s="591" t="s">
        <v>2261</v>
      </c>
    </row>
    <row r="869" spans="1:2" x14ac:dyDescent="0.2">
      <c r="A869" s="622">
        <v>21006201</v>
      </c>
      <c r="B869" s="591" t="s">
        <v>2262</v>
      </c>
    </row>
    <row r="870" spans="1:2" x14ac:dyDescent="0.2">
      <c r="A870" s="622">
        <v>21006205</v>
      </c>
      <c r="B870" s="591" t="s">
        <v>2263</v>
      </c>
    </row>
    <row r="871" spans="1:2" x14ac:dyDescent="0.2">
      <c r="A871" s="622">
        <v>21016201</v>
      </c>
      <c r="B871" s="591" t="s">
        <v>2262</v>
      </c>
    </row>
    <row r="872" spans="1:2" x14ac:dyDescent="0.2">
      <c r="A872" s="622">
        <v>21016205</v>
      </c>
      <c r="B872" s="591" t="s">
        <v>2263</v>
      </c>
    </row>
    <row r="873" spans="1:2" x14ac:dyDescent="0.2">
      <c r="A873" s="622">
        <v>21106201</v>
      </c>
      <c r="B873" s="591" t="s">
        <v>2264</v>
      </c>
    </row>
    <row r="874" spans="1:2" x14ac:dyDescent="0.2">
      <c r="A874" s="622">
        <v>21106205</v>
      </c>
      <c r="B874" s="591" t="s">
        <v>2265</v>
      </c>
    </row>
    <row r="875" spans="1:2" x14ac:dyDescent="0.2">
      <c r="A875" s="622">
        <v>21116201</v>
      </c>
      <c r="B875" s="591" t="s">
        <v>2264</v>
      </c>
    </row>
    <row r="876" spans="1:2" x14ac:dyDescent="0.2">
      <c r="A876" s="622">
        <v>21116205</v>
      </c>
      <c r="B876" s="591" t="s">
        <v>2265</v>
      </c>
    </row>
    <row r="877" spans="1:2" x14ac:dyDescent="0.2">
      <c r="A877" s="622">
        <v>21206201</v>
      </c>
      <c r="B877" s="591" t="s">
        <v>2266</v>
      </c>
    </row>
    <row r="878" spans="1:2" x14ac:dyDescent="0.2">
      <c r="A878" s="622">
        <v>21206205</v>
      </c>
      <c r="B878" s="591" t="s">
        <v>2267</v>
      </c>
    </row>
    <row r="879" spans="1:2" x14ac:dyDescent="0.2">
      <c r="A879" s="622">
        <v>21216201</v>
      </c>
      <c r="B879" s="591" t="s">
        <v>2266</v>
      </c>
    </row>
    <row r="880" spans="1:2" x14ac:dyDescent="0.2">
      <c r="A880" s="622">
        <v>21216205</v>
      </c>
      <c r="B880" s="591" t="s">
        <v>2267</v>
      </c>
    </row>
    <row r="881" spans="1:2" x14ac:dyDescent="0.2">
      <c r="A881" s="622">
        <v>22006201</v>
      </c>
      <c r="B881" s="591" t="s">
        <v>2268</v>
      </c>
    </row>
    <row r="882" spans="1:2" x14ac:dyDescent="0.2">
      <c r="A882" s="622">
        <v>22006205</v>
      </c>
      <c r="B882" s="591" t="s">
        <v>2269</v>
      </c>
    </row>
    <row r="883" spans="1:2" x14ac:dyDescent="0.2">
      <c r="A883" s="622">
        <v>22016201</v>
      </c>
      <c r="B883" s="591" t="s">
        <v>2268</v>
      </c>
    </row>
    <row r="884" spans="1:2" x14ac:dyDescent="0.2">
      <c r="A884" s="622">
        <v>22016205</v>
      </c>
      <c r="B884" s="591" t="s">
        <v>2269</v>
      </c>
    </row>
    <row r="885" spans="1:2" x14ac:dyDescent="0.2">
      <c r="A885" s="622">
        <v>22106201</v>
      </c>
      <c r="B885" s="591" t="s">
        <v>2270</v>
      </c>
    </row>
    <row r="886" spans="1:2" x14ac:dyDescent="0.2">
      <c r="A886" s="622">
        <v>22106205</v>
      </c>
      <c r="B886" s="591" t="s">
        <v>2271</v>
      </c>
    </row>
    <row r="887" spans="1:2" x14ac:dyDescent="0.2">
      <c r="A887" s="622">
        <v>22116201</v>
      </c>
      <c r="B887" s="591" t="s">
        <v>2270</v>
      </c>
    </row>
    <row r="888" spans="1:2" x14ac:dyDescent="0.2">
      <c r="A888" s="622">
        <v>22116205</v>
      </c>
      <c r="B888" s="591" t="s">
        <v>2271</v>
      </c>
    </row>
    <row r="889" spans="1:2" x14ac:dyDescent="0.2">
      <c r="A889" s="622">
        <v>22206201</v>
      </c>
      <c r="B889" s="591" t="s">
        <v>2272</v>
      </c>
    </row>
    <row r="890" spans="1:2" x14ac:dyDescent="0.2">
      <c r="A890" s="622">
        <v>22206205</v>
      </c>
      <c r="B890" s="591" t="s">
        <v>2273</v>
      </c>
    </row>
    <row r="891" spans="1:2" x14ac:dyDescent="0.2">
      <c r="A891" s="622">
        <v>22216201</v>
      </c>
      <c r="B891" s="591" t="s">
        <v>2272</v>
      </c>
    </row>
    <row r="892" spans="1:2" x14ac:dyDescent="0.2">
      <c r="A892" s="622">
        <v>22216205</v>
      </c>
      <c r="B892" s="591" t="s">
        <v>2273</v>
      </c>
    </row>
    <row r="893" spans="1:2" x14ac:dyDescent="0.2">
      <c r="A893" s="623">
        <v>50006201</v>
      </c>
      <c r="B893" s="624" t="s">
        <v>2274</v>
      </c>
    </row>
    <row r="894" spans="1:2" x14ac:dyDescent="0.2">
      <c r="A894" s="623">
        <v>50006205</v>
      </c>
      <c r="B894" s="624" t="s">
        <v>2275</v>
      </c>
    </row>
    <row r="895" spans="1:2" x14ac:dyDescent="0.2">
      <c r="A895" s="622">
        <v>11007001</v>
      </c>
      <c r="B895" s="591" t="s">
        <v>2276</v>
      </c>
    </row>
    <row r="896" spans="1:2" x14ac:dyDescent="0.2">
      <c r="A896" s="622">
        <v>11007005</v>
      </c>
      <c r="B896" s="591" t="s">
        <v>2277</v>
      </c>
    </row>
    <row r="897" spans="1:2" x14ac:dyDescent="0.2">
      <c r="A897" s="622">
        <v>11017001</v>
      </c>
      <c r="B897" s="591" t="s">
        <v>2276</v>
      </c>
    </row>
    <row r="898" spans="1:2" x14ac:dyDescent="0.2">
      <c r="A898" s="622">
        <v>11017005</v>
      </c>
      <c r="B898" s="591" t="s">
        <v>2277</v>
      </c>
    </row>
    <row r="899" spans="1:2" x14ac:dyDescent="0.2">
      <c r="A899" s="622">
        <v>11107001</v>
      </c>
      <c r="B899" s="591" t="s">
        <v>2278</v>
      </c>
    </row>
    <row r="900" spans="1:2" x14ac:dyDescent="0.2">
      <c r="A900" s="622">
        <v>11107005</v>
      </c>
      <c r="B900" s="591" t="s">
        <v>2279</v>
      </c>
    </row>
    <row r="901" spans="1:2" x14ac:dyDescent="0.2">
      <c r="A901" s="622">
        <v>11117001</v>
      </c>
      <c r="B901" s="591" t="s">
        <v>2278</v>
      </c>
    </row>
    <row r="902" spans="1:2" x14ac:dyDescent="0.2">
      <c r="A902" s="622">
        <v>11117005</v>
      </c>
      <c r="B902" s="591" t="s">
        <v>2279</v>
      </c>
    </row>
    <row r="903" spans="1:2" x14ac:dyDescent="0.2">
      <c r="A903" s="622">
        <v>11207001</v>
      </c>
      <c r="B903" s="591" t="s">
        <v>2280</v>
      </c>
    </row>
    <row r="904" spans="1:2" x14ac:dyDescent="0.2">
      <c r="A904" s="622">
        <v>11207005</v>
      </c>
      <c r="B904" s="591" t="s">
        <v>2281</v>
      </c>
    </row>
    <row r="905" spans="1:2" x14ac:dyDescent="0.2">
      <c r="A905" s="622">
        <v>11217001</v>
      </c>
      <c r="B905" s="591" t="s">
        <v>2280</v>
      </c>
    </row>
    <row r="906" spans="1:2" x14ac:dyDescent="0.2">
      <c r="A906" s="622">
        <v>11217005</v>
      </c>
      <c r="B906" s="591" t="s">
        <v>2281</v>
      </c>
    </row>
    <row r="907" spans="1:2" x14ac:dyDescent="0.2">
      <c r="A907" s="622">
        <v>12007001</v>
      </c>
      <c r="B907" s="591" t="s">
        <v>2282</v>
      </c>
    </row>
    <row r="908" spans="1:2" x14ac:dyDescent="0.2">
      <c r="A908" s="622">
        <v>12007005</v>
      </c>
      <c r="B908" s="591" t="s">
        <v>2283</v>
      </c>
    </row>
    <row r="909" spans="1:2" x14ac:dyDescent="0.2">
      <c r="A909" s="622">
        <v>12017001</v>
      </c>
      <c r="B909" s="591" t="s">
        <v>2282</v>
      </c>
    </row>
    <row r="910" spans="1:2" x14ac:dyDescent="0.2">
      <c r="A910" s="622">
        <v>12017005</v>
      </c>
      <c r="B910" s="591" t="s">
        <v>2283</v>
      </c>
    </row>
    <row r="911" spans="1:2" x14ac:dyDescent="0.2">
      <c r="A911" s="622">
        <v>12107001</v>
      </c>
      <c r="B911" s="591" t="s">
        <v>2284</v>
      </c>
    </row>
    <row r="912" spans="1:2" x14ac:dyDescent="0.2">
      <c r="A912" s="622">
        <v>12107005</v>
      </c>
      <c r="B912" s="591" t="s">
        <v>2285</v>
      </c>
    </row>
    <row r="913" spans="1:2" x14ac:dyDescent="0.2">
      <c r="A913" s="622">
        <v>12117001</v>
      </c>
      <c r="B913" s="591" t="s">
        <v>2284</v>
      </c>
    </row>
    <row r="914" spans="1:2" x14ac:dyDescent="0.2">
      <c r="A914" s="622">
        <v>12117005</v>
      </c>
      <c r="B914" s="591" t="s">
        <v>2285</v>
      </c>
    </row>
    <row r="915" spans="1:2" x14ac:dyDescent="0.2">
      <c r="A915" s="622">
        <v>12207001</v>
      </c>
      <c r="B915" s="591" t="s">
        <v>2286</v>
      </c>
    </row>
    <row r="916" spans="1:2" x14ac:dyDescent="0.2">
      <c r="A916" s="622">
        <v>12207005</v>
      </c>
      <c r="B916" s="591" t="s">
        <v>2287</v>
      </c>
    </row>
    <row r="917" spans="1:2" x14ac:dyDescent="0.2">
      <c r="A917" s="622">
        <v>12217001</v>
      </c>
      <c r="B917" s="591" t="s">
        <v>2286</v>
      </c>
    </row>
    <row r="918" spans="1:2" x14ac:dyDescent="0.2">
      <c r="A918" s="622">
        <v>12217005</v>
      </c>
      <c r="B918" s="591" t="s">
        <v>2287</v>
      </c>
    </row>
    <row r="919" spans="1:2" x14ac:dyDescent="0.2">
      <c r="A919" s="622">
        <v>21007001</v>
      </c>
      <c r="B919" s="591" t="s">
        <v>2288</v>
      </c>
    </row>
    <row r="920" spans="1:2" x14ac:dyDescent="0.2">
      <c r="A920" s="622">
        <v>21007005</v>
      </c>
      <c r="B920" s="591" t="s">
        <v>2289</v>
      </c>
    </row>
    <row r="921" spans="1:2" x14ac:dyDescent="0.2">
      <c r="A921" s="622">
        <v>21017001</v>
      </c>
      <c r="B921" s="591" t="s">
        <v>2288</v>
      </c>
    </row>
    <row r="922" spans="1:2" x14ac:dyDescent="0.2">
      <c r="A922" s="622">
        <v>21017005</v>
      </c>
      <c r="B922" s="591" t="s">
        <v>2289</v>
      </c>
    </row>
    <row r="923" spans="1:2" x14ac:dyDescent="0.2">
      <c r="A923" s="622">
        <v>21107001</v>
      </c>
      <c r="B923" s="591" t="s">
        <v>2290</v>
      </c>
    </row>
    <row r="924" spans="1:2" x14ac:dyDescent="0.2">
      <c r="A924" s="622">
        <v>21107005</v>
      </c>
      <c r="B924" s="591" t="s">
        <v>2291</v>
      </c>
    </row>
    <row r="925" spans="1:2" x14ac:dyDescent="0.2">
      <c r="A925" s="622">
        <v>21117001</v>
      </c>
      <c r="B925" s="591" t="s">
        <v>2290</v>
      </c>
    </row>
    <row r="926" spans="1:2" x14ac:dyDescent="0.2">
      <c r="A926" s="622">
        <v>21117005</v>
      </c>
      <c r="B926" s="591" t="s">
        <v>2291</v>
      </c>
    </row>
    <row r="927" spans="1:2" x14ac:dyDescent="0.2">
      <c r="A927" s="622">
        <v>21207001</v>
      </c>
      <c r="B927" s="591" t="s">
        <v>2292</v>
      </c>
    </row>
    <row r="928" spans="1:2" x14ac:dyDescent="0.2">
      <c r="A928" s="622">
        <v>21207005</v>
      </c>
      <c r="B928" s="591" t="s">
        <v>2293</v>
      </c>
    </row>
    <row r="929" spans="1:2" x14ac:dyDescent="0.2">
      <c r="A929" s="622">
        <v>21217001</v>
      </c>
      <c r="B929" s="591" t="s">
        <v>2292</v>
      </c>
    </row>
    <row r="930" spans="1:2" x14ac:dyDescent="0.2">
      <c r="A930" s="622">
        <v>21217005</v>
      </c>
      <c r="B930" s="591" t="s">
        <v>2293</v>
      </c>
    </row>
    <row r="931" spans="1:2" x14ac:dyDescent="0.2">
      <c r="A931" s="622">
        <v>22007001</v>
      </c>
      <c r="B931" s="591" t="s">
        <v>2294</v>
      </c>
    </row>
    <row r="932" spans="1:2" x14ac:dyDescent="0.2">
      <c r="A932" s="622">
        <v>22007005</v>
      </c>
      <c r="B932" s="591" t="s">
        <v>2295</v>
      </c>
    </row>
    <row r="933" spans="1:2" x14ac:dyDescent="0.2">
      <c r="A933" s="622">
        <v>22017001</v>
      </c>
      <c r="B933" s="591" t="s">
        <v>2294</v>
      </c>
    </row>
    <row r="934" spans="1:2" x14ac:dyDescent="0.2">
      <c r="A934" s="622">
        <v>22017005</v>
      </c>
      <c r="B934" s="591" t="s">
        <v>2295</v>
      </c>
    </row>
    <row r="935" spans="1:2" x14ac:dyDescent="0.2">
      <c r="A935" s="622">
        <v>22107001</v>
      </c>
      <c r="B935" s="591" t="s">
        <v>2296</v>
      </c>
    </row>
    <row r="936" spans="1:2" x14ac:dyDescent="0.2">
      <c r="A936" s="622">
        <v>22107005</v>
      </c>
      <c r="B936" s="591" t="s">
        <v>2297</v>
      </c>
    </row>
    <row r="937" spans="1:2" x14ac:dyDescent="0.2">
      <c r="A937" s="622">
        <v>22117001</v>
      </c>
      <c r="B937" s="591" t="s">
        <v>2296</v>
      </c>
    </row>
    <row r="938" spans="1:2" x14ac:dyDescent="0.2">
      <c r="A938" s="622">
        <v>22117005</v>
      </c>
      <c r="B938" s="591" t="s">
        <v>2297</v>
      </c>
    </row>
    <row r="939" spans="1:2" x14ac:dyDescent="0.2">
      <c r="A939" s="622">
        <v>22207001</v>
      </c>
      <c r="B939" s="591" t="s">
        <v>2298</v>
      </c>
    </row>
    <row r="940" spans="1:2" x14ac:dyDescent="0.2">
      <c r="A940" s="622">
        <v>22207005</v>
      </c>
      <c r="B940" s="591" t="s">
        <v>2299</v>
      </c>
    </row>
    <row r="941" spans="1:2" x14ac:dyDescent="0.2">
      <c r="A941" s="622">
        <v>22217001</v>
      </c>
      <c r="B941" s="591" t="s">
        <v>2298</v>
      </c>
    </row>
    <row r="942" spans="1:2" x14ac:dyDescent="0.2">
      <c r="A942" s="622">
        <v>22217005</v>
      </c>
      <c r="B942" s="591" t="s">
        <v>2299</v>
      </c>
    </row>
    <row r="943" spans="1:2" x14ac:dyDescent="0.2">
      <c r="A943" s="623">
        <v>50007001</v>
      </c>
      <c r="B943" s="624" t="s">
        <v>2300</v>
      </c>
    </row>
    <row r="944" spans="1:2" x14ac:dyDescent="0.2">
      <c r="A944" s="623">
        <v>50007005</v>
      </c>
      <c r="B944" s="624" t="s">
        <v>2301</v>
      </c>
    </row>
    <row r="945" spans="1:2" x14ac:dyDescent="0.2">
      <c r="A945" s="622">
        <v>11007101</v>
      </c>
      <c r="B945" s="591" t="s">
        <v>2302</v>
      </c>
    </row>
    <row r="946" spans="1:2" x14ac:dyDescent="0.2">
      <c r="A946" s="622">
        <v>11007105</v>
      </c>
      <c r="B946" s="591" t="s">
        <v>2303</v>
      </c>
    </row>
    <row r="947" spans="1:2" x14ac:dyDescent="0.2">
      <c r="A947" s="622">
        <v>11017101</v>
      </c>
      <c r="B947" s="591" t="s">
        <v>2302</v>
      </c>
    </row>
    <row r="948" spans="1:2" x14ac:dyDescent="0.2">
      <c r="A948" s="622">
        <v>11017105</v>
      </c>
      <c r="B948" s="591" t="s">
        <v>2303</v>
      </c>
    </row>
    <row r="949" spans="1:2" x14ac:dyDescent="0.2">
      <c r="A949" s="622">
        <v>11107101</v>
      </c>
      <c r="B949" s="591" t="s">
        <v>2304</v>
      </c>
    </row>
    <row r="950" spans="1:2" x14ac:dyDescent="0.2">
      <c r="A950" s="622">
        <v>11107105</v>
      </c>
      <c r="B950" s="591" t="s">
        <v>2305</v>
      </c>
    </row>
    <row r="951" spans="1:2" x14ac:dyDescent="0.2">
      <c r="A951" s="622">
        <v>11117101</v>
      </c>
      <c r="B951" s="591" t="s">
        <v>2304</v>
      </c>
    </row>
    <row r="952" spans="1:2" x14ac:dyDescent="0.2">
      <c r="A952" s="622">
        <v>11117105</v>
      </c>
      <c r="B952" s="591" t="s">
        <v>2305</v>
      </c>
    </row>
    <row r="953" spans="1:2" x14ac:dyDescent="0.2">
      <c r="A953" s="622">
        <v>11207101</v>
      </c>
      <c r="B953" s="591" t="s">
        <v>2306</v>
      </c>
    </row>
    <row r="954" spans="1:2" x14ac:dyDescent="0.2">
      <c r="A954" s="622">
        <v>11207105</v>
      </c>
      <c r="B954" s="591" t="s">
        <v>2307</v>
      </c>
    </row>
    <row r="955" spans="1:2" x14ac:dyDescent="0.2">
      <c r="A955" s="622">
        <v>11217101</v>
      </c>
      <c r="B955" s="591" t="s">
        <v>2306</v>
      </c>
    </row>
    <row r="956" spans="1:2" x14ac:dyDescent="0.2">
      <c r="A956" s="622">
        <v>11217105</v>
      </c>
      <c r="B956" s="591" t="s">
        <v>2307</v>
      </c>
    </row>
    <row r="957" spans="1:2" x14ac:dyDescent="0.2">
      <c r="A957" s="622">
        <v>12007101</v>
      </c>
      <c r="B957" s="591" t="s">
        <v>2308</v>
      </c>
    </row>
    <row r="958" spans="1:2" x14ac:dyDescent="0.2">
      <c r="A958" s="622">
        <v>12007105</v>
      </c>
      <c r="B958" s="591" t="s">
        <v>2309</v>
      </c>
    </row>
    <row r="959" spans="1:2" x14ac:dyDescent="0.2">
      <c r="A959" s="622">
        <v>12017101</v>
      </c>
      <c r="B959" s="591" t="s">
        <v>2308</v>
      </c>
    </row>
    <row r="960" spans="1:2" x14ac:dyDescent="0.2">
      <c r="A960" s="622">
        <v>12017105</v>
      </c>
      <c r="B960" s="591" t="s">
        <v>2309</v>
      </c>
    </row>
    <row r="961" spans="1:2" x14ac:dyDescent="0.2">
      <c r="A961" s="622">
        <v>12107101</v>
      </c>
      <c r="B961" s="591" t="s">
        <v>2310</v>
      </c>
    </row>
    <row r="962" spans="1:2" x14ac:dyDescent="0.2">
      <c r="A962" s="622">
        <v>12107105</v>
      </c>
      <c r="B962" s="591" t="s">
        <v>2311</v>
      </c>
    </row>
    <row r="963" spans="1:2" x14ac:dyDescent="0.2">
      <c r="A963" s="622">
        <v>12117101</v>
      </c>
      <c r="B963" s="591" t="s">
        <v>2310</v>
      </c>
    </row>
    <row r="964" spans="1:2" x14ac:dyDescent="0.2">
      <c r="A964" s="622">
        <v>12117105</v>
      </c>
      <c r="B964" s="591" t="s">
        <v>2311</v>
      </c>
    </row>
    <row r="965" spans="1:2" x14ac:dyDescent="0.2">
      <c r="A965" s="622">
        <v>12207101</v>
      </c>
      <c r="B965" s="591" t="s">
        <v>2312</v>
      </c>
    </row>
    <row r="966" spans="1:2" x14ac:dyDescent="0.2">
      <c r="A966" s="622">
        <v>12207105</v>
      </c>
      <c r="B966" s="591" t="s">
        <v>2313</v>
      </c>
    </row>
    <row r="967" spans="1:2" x14ac:dyDescent="0.2">
      <c r="A967" s="622">
        <v>12217101</v>
      </c>
      <c r="B967" s="591" t="s">
        <v>2312</v>
      </c>
    </row>
    <row r="968" spans="1:2" x14ac:dyDescent="0.2">
      <c r="A968" s="622">
        <v>12217105</v>
      </c>
      <c r="B968" s="591" t="s">
        <v>2313</v>
      </c>
    </row>
    <row r="969" spans="1:2" x14ac:dyDescent="0.2">
      <c r="A969" s="622">
        <v>21007101</v>
      </c>
      <c r="B969" s="591" t="s">
        <v>2314</v>
      </c>
    </row>
    <row r="970" spans="1:2" x14ac:dyDescent="0.2">
      <c r="A970" s="622">
        <v>21007105</v>
      </c>
      <c r="B970" s="591" t="s">
        <v>2315</v>
      </c>
    </row>
    <row r="971" spans="1:2" x14ac:dyDescent="0.2">
      <c r="A971" s="622">
        <v>21017101</v>
      </c>
      <c r="B971" s="591" t="s">
        <v>2314</v>
      </c>
    </row>
    <row r="972" spans="1:2" x14ac:dyDescent="0.2">
      <c r="A972" s="622">
        <v>21017105</v>
      </c>
      <c r="B972" s="591" t="s">
        <v>2315</v>
      </c>
    </row>
    <row r="973" spans="1:2" x14ac:dyDescent="0.2">
      <c r="A973" s="622">
        <v>21107101</v>
      </c>
      <c r="B973" s="591" t="s">
        <v>2316</v>
      </c>
    </row>
    <row r="974" spans="1:2" x14ac:dyDescent="0.2">
      <c r="A974" s="622">
        <v>21107105</v>
      </c>
      <c r="B974" s="591" t="s">
        <v>2317</v>
      </c>
    </row>
    <row r="975" spans="1:2" x14ac:dyDescent="0.2">
      <c r="A975" s="622">
        <v>21117101</v>
      </c>
      <c r="B975" s="591" t="s">
        <v>2316</v>
      </c>
    </row>
    <row r="976" spans="1:2" x14ac:dyDescent="0.2">
      <c r="A976" s="622">
        <v>21117105</v>
      </c>
      <c r="B976" s="591" t="s">
        <v>2317</v>
      </c>
    </row>
    <row r="977" spans="1:2" x14ac:dyDescent="0.2">
      <c r="A977" s="622">
        <v>21207101</v>
      </c>
      <c r="B977" s="591" t="s">
        <v>2318</v>
      </c>
    </row>
    <row r="978" spans="1:2" x14ac:dyDescent="0.2">
      <c r="A978" s="622">
        <v>21207105</v>
      </c>
      <c r="B978" s="591" t="s">
        <v>2319</v>
      </c>
    </row>
    <row r="979" spans="1:2" x14ac:dyDescent="0.2">
      <c r="A979" s="622">
        <v>21217101</v>
      </c>
      <c r="B979" s="591" t="s">
        <v>2318</v>
      </c>
    </row>
    <row r="980" spans="1:2" x14ac:dyDescent="0.2">
      <c r="A980" s="622">
        <v>21217105</v>
      </c>
      <c r="B980" s="591" t="s">
        <v>2319</v>
      </c>
    </row>
    <row r="981" spans="1:2" x14ac:dyDescent="0.2">
      <c r="A981" s="622">
        <v>22007101</v>
      </c>
      <c r="B981" s="591" t="s">
        <v>2320</v>
      </c>
    </row>
    <row r="982" spans="1:2" x14ac:dyDescent="0.2">
      <c r="A982" s="622">
        <v>22007105</v>
      </c>
      <c r="B982" s="591" t="s">
        <v>2321</v>
      </c>
    </row>
    <row r="983" spans="1:2" x14ac:dyDescent="0.2">
      <c r="A983" s="622">
        <v>22017101</v>
      </c>
      <c r="B983" s="591" t="s">
        <v>2320</v>
      </c>
    </row>
    <row r="984" spans="1:2" x14ac:dyDescent="0.2">
      <c r="A984" s="622">
        <v>22017105</v>
      </c>
      <c r="B984" s="591" t="s">
        <v>2321</v>
      </c>
    </row>
    <row r="985" spans="1:2" x14ac:dyDescent="0.2">
      <c r="A985" s="622">
        <v>22107101</v>
      </c>
      <c r="B985" s="591" t="s">
        <v>2322</v>
      </c>
    </row>
    <row r="986" spans="1:2" x14ac:dyDescent="0.2">
      <c r="A986" s="622">
        <v>22107105</v>
      </c>
      <c r="B986" s="591" t="s">
        <v>2323</v>
      </c>
    </row>
    <row r="987" spans="1:2" x14ac:dyDescent="0.2">
      <c r="A987" s="622">
        <v>22117101</v>
      </c>
      <c r="B987" s="591" t="s">
        <v>2322</v>
      </c>
    </row>
    <row r="988" spans="1:2" x14ac:dyDescent="0.2">
      <c r="A988" s="622">
        <v>22117105</v>
      </c>
      <c r="B988" s="591" t="s">
        <v>2323</v>
      </c>
    </row>
    <row r="989" spans="1:2" x14ac:dyDescent="0.2">
      <c r="A989" s="622">
        <v>22207101</v>
      </c>
      <c r="B989" s="591" t="s">
        <v>2324</v>
      </c>
    </row>
    <row r="990" spans="1:2" x14ac:dyDescent="0.2">
      <c r="A990" s="622">
        <v>22207105</v>
      </c>
      <c r="B990" s="591" t="s">
        <v>2325</v>
      </c>
    </row>
    <row r="991" spans="1:2" x14ac:dyDescent="0.2">
      <c r="A991" s="622">
        <v>22217101</v>
      </c>
      <c r="B991" s="591" t="s">
        <v>2324</v>
      </c>
    </row>
    <row r="992" spans="1:2" x14ac:dyDescent="0.2">
      <c r="A992" s="622">
        <v>22217105</v>
      </c>
      <c r="B992" s="591" t="s">
        <v>2325</v>
      </c>
    </row>
    <row r="993" spans="1:2" x14ac:dyDescent="0.2">
      <c r="A993" s="623">
        <v>50007101</v>
      </c>
      <c r="B993" s="624" t="s">
        <v>2326</v>
      </c>
    </row>
    <row r="994" spans="1:2" x14ac:dyDescent="0.2">
      <c r="A994" s="623">
        <v>50007105</v>
      </c>
      <c r="B994" s="624" t="s">
        <v>2327</v>
      </c>
    </row>
    <row r="995" spans="1:2" x14ac:dyDescent="0.2">
      <c r="A995" s="622">
        <v>11007201</v>
      </c>
      <c r="B995" s="591" t="s">
        <v>2328</v>
      </c>
    </row>
    <row r="996" spans="1:2" x14ac:dyDescent="0.2">
      <c r="A996" s="622">
        <v>11007205</v>
      </c>
      <c r="B996" s="591" t="s">
        <v>2329</v>
      </c>
    </row>
    <row r="997" spans="1:2" x14ac:dyDescent="0.2">
      <c r="A997" s="622">
        <v>11017201</v>
      </c>
      <c r="B997" s="591" t="s">
        <v>2328</v>
      </c>
    </row>
    <row r="998" spans="1:2" x14ac:dyDescent="0.2">
      <c r="A998" s="622">
        <v>11017205</v>
      </c>
      <c r="B998" s="591" t="s">
        <v>2329</v>
      </c>
    </row>
    <row r="999" spans="1:2" x14ac:dyDescent="0.2">
      <c r="A999" s="622">
        <v>11107201</v>
      </c>
      <c r="B999" s="591" t="s">
        <v>2330</v>
      </c>
    </row>
    <row r="1000" spans="1:2" x14ac:dyDescent="0.2">
      <c r="A1000" s="622">
        <v>11107205</v>
      </c>
      <c r="B1000" s="591" t="s">
        <v>2331</v>
      </c>
    </row>
    <row r="1001" spans="1:2" x14ac:dyDescent="0.2">
      <c r="A1001" s="622">
        <v>11117201</v>
      </c>
      <c r="B1001" s="591" t="s">
        <v>2330</v>
      </c>
    </row>
    <row r="1002" spans="1:2" x14ac:dyDescent="0.2">
      <c r="A1002" s="622">
        <v>11117205</v>
      </c>
      <c r="B1002" s="591" t="s">
        <v>2331</v>
      </c>
    </row>
    <row r="1003" spans="1:2" x14ac:dyDescent="0.2">
      <c r="A1003" s="622">
        <v>11207201</v>
      </c>
      <c r="B1003" s="591" t="s">
        <v>2332</v>
      </c>
    </row>
    <row r="1004" spans="1:2" x14ac:dyDescent="0.2">
      <c r="A1004" s="622">
        <v>11207205</v>
      </c>
      <c r="B1004" s="591" t="s">
        <v>2333</v>
      </c>
    </row>
    <row r="1005" spans="1:2" x14ac:dyDescent="0.2">
      <c r="A1005" s="622">
        <v>11217201</v>
      </c>
      <c r="B1005" s="591" t="s">
        <v>2332</v>
      </c>
    </row>
    <row r="1006" spans="1:2" x14ac:dyDescent="0.2">
      <c r="A1006" s="622">
        <v>11217205</v>
      </c>
      <c r="B1006" s="591" t="s">
        <v>2333</v>
      </c>
    </row>
    <row r="1007" spans="1:2" x14ac:dyDescent="0.2">
      <c r="A1007" s="622">
        <v>12007201</v>
      </c>
      <c r="B1007" s="591" t="s">
        <v>2334</v>
      </c>
    </row>
    <row r="1008" spans="1:2" x14ac:dyDescent="0.2">
      <c r="A1008" s="622">
        <v>12007205</v>
      </c>
      <c r="B1008" s="591" t="s">
        <v>2335</v>
      </c>
    </row>
    <row r="1009" spans="1:2" x14ac:dyDescent="0.2">
      <c r="A1009" s="622">
        <v>12017201</v>
      </c>
      <c r="B1009" s="591" t="s">
        <v>2334</v>
      </c>
    </row>
    <row r="1010" spans="1:2" x14ac:dyDescent="0.2">
      <c r="A1010" s="622">
        <v>12017205</v>
      </c>
      <c r="B1010" s="591" t="s">
        <v>2335</v>
      </c>
    </row>
    <row r="1011" spans="1:2" x14ac:dyDescent="0.2">
      <c r="A1011" s="622">
        <v>12107201</v>
      </c>
      <c r="B1011" s="591" t="s">
        <v>2336</v>
      </c>
    </row>
    <row r="1012" spans="1:2" x14ac:dyDescent="0.2">
      <c r="A1012" s="622">
        <v>12107205</v>
      </c>
      <c r="B1012" s="591" t="s">
        <v>2337</v>
      </c>
    </row>
    <row r="1013" spans="1:2" x14ac:dyDescent="0.2">
      <c r="A1013" s="622">
        <v>12117201</v>
      </c>
      <c r="B1013" s="591" t="s">
        <v>2336</v>
      </c>
    </row>
    <row r="1014" spans="1:2" x14ac:dyDescent="0.2">
      <c r="A1014" s="622">
        <v>12117205</v>
      </c>
      <c r="B1014" s="591" t="s">
        <v>2337</v>
      </c>
    </row>
    <row r="1015" spans="1:2" x14ac:dyDescent="0.2">
      <c r="A1015" s="622">
        <v>12207201</v>
      </c>
      <c r="B1015" s="591" t="s">
        <v>2338</v>
      </c>
    </row>
    <row r="1016" spans="1:2" x14ac:dyDescent="0.2">
      <c r="A1016" s="622">
        <v>12207205</v>
      </c>
      <c r="B1016" s="591" t="s">
        <v>2339</v>
      </c>
    </row>
    <row r="1017" spans="1:2" x14ac:dyDescent="0.2">
      <c r="A1017" s="622">
        <v>12217201</v>
      </c>
      <c r="B1017" s="591" t="s">
        <v>2338</v>
      </c>
    </row>
    <row r="1018" spans="1:2" x14ac:dyDescent="0.2">
      <c r="A1018" s="622">
        <v>12217205</v>
      </c>
      <c r="B1018" s="591" t="s">
        <v>2339</v>
      </c>
    </row>
    <row r="1019" spans="1:2" x14ac:dyDescent="0.2">
      <c r="A1019" s="622">
        <v>21007201</v>
      </c>
      <c r="B1019" s="591" t="s">
        <v>2340</v>
      </c>
    </row>
    <row r="1020" spans="1:2" x14ac:dyDescent="0.2">
      <c r="A1020" s="622">
        <v>21007205</v>
      </c>
      <c r="B1020" s="591" t="s">
        <v>2341</v>
      </c>
    </row>
    <row r="1021" spans="1:2" x14ac:dyDescent="0.2">
      <c r="A1021" s="622">
        <v>21017201</v>
      </c>
      <c r="B1021" s="591" t="s">
        <v>2340</v>
      </c>
    </row>
    <row r="1022" spans="1:2" x14ac:dyDescent="0.2">
      <c r="A1022" s="622">
        <v>21017205</v>
      </c>
      <c r="B1022" s="591" t="s">
        <v>2341</v>
      </c>
    </row>
    <row r="1023" spans="1:2" x14ac:dyDescent="0.2">
      <c r="A1023" s="622">
        <v>21107201</v>
      </c>
      <c r="B1023" s="591" t="s">
        <v>2342</v>
      </c>
    </row>
    <row r="1024" spans="1:2" x14ac:dyDescent="0.2">
      <c r="A1024" s="622">
        <v>21107205</v>
      </c>
      <c r="B1024" s="591" t="s">
        <v>2343</v>
      </c>
    </row>
    <row r="1025" spans="1:2" x14ac:dyDescent="0.2">
      <c r="A1025" s="622">
        <v>21117201</v>
      </c>
      <c r="B1025" s="591" t="s">
        <v>2342</v>
      </c>
    </row>
    <row r="1026" spans="1:2" x14ac:dyDescent="0.2">
      <c r="A1026" s="622">
        <v>21117205</v>
      </c>
      <c r="B1026" s="591" t="s">
        <v>2343</v>
      </c>
    </row>
    <row r="1027" spans="1:2" x14ac:dyDescent="0.2">
      <c r="A1027" s="622">
        <v>21207201</v>
      </c>
      <c r="B1027" s="591" t="s">
        <v>2344</v>
      </c>
    </row>
    <row r="1028" spans="1:2" x14ac:dyDescent="0.2">
      <c r="A1028" s="622">
        <v>21207205</v>
      </c>
      <c r="B1028" s="591" t="s">
        <v>2345</v>
      </c>
    </row>
    <row r="1029" spans="1:2" x14ac:dyDescent="0.2">
      <c r="A1029" s="622">
        <v>21217201</v>
      </c>
      <c r="B1029" s="591" t="s">
        <v>2344</v>
      </c>
    </row>
    <row r="1030" spans="1:2" x14ac:dyDescent="0.2">
      <c r="A1030" s="622">
        <v>21217205</v>
      </c>
      <c r="B1030" s="591" t="s">
        <v>2345</v>
      </c>
    </row>
    <row r="1031" spans="1:2" x14ac:dyDescent="0.2">
      <c r="A1031" s="622">
        <v>22007201</v>
      </c>
      <c r="B1031" s="591" t="s">
        <v>2346</v>
      </c>
    </row>
    <row r="1032" spans="1:2" x14ac:dyDescent="0.2">
      <c r="A1032" s="622">
        <v>22007205</v>
      </c>
      <c r="B1032" s="591" t="s">
        <v>2347</v>
      </c>
    </row>
    <row r="1033" spans="1:2" x14ac:dyDescent="0.2">
      <c r="A1033" s="622">
        <v>22017201</v>
      </c>
      <c r="B1033" s="591" t="s">
        <v>2346</v>
      </c>
    </row>
    <row r="1034" spans="1:2" x14ac:dyDescent="0.2">
      <c r="A1034" s="622">
        <v>22017205</v>
      </c>
      <c r="B1034" s="591" t="s">
        <v>2347</v>
      </c>
    </row>
    <row r="1035" spans="1:2" x14ac:dyDescent="0.2">
      <c r="A1035" s="622">
        <v>22107201</v>
      </c>
      <c r="B1035" s="591" t="s">
        <v>2348</v>
      </c>
    </row>
    <row r="1036" spans="1:2" x14ac:dyDescent="0.2">
      <c r="A1036" s="622">
        <v>22107205</v>
      </c>
      <c r="B1036" s="591" t="s">
        <v>2349</v>
      </c>
    </row>
    <row r="1037" spans="1:2" x14ac:dyDescent="0.2">
      <c r="A1037" s="622">
        <v>22117201</v>
      </c>
      <c r="B1037" s="591" t="s">
        <v>2348</v>
      </c>
    </row>
    <row r="1038" spans="1:2" x14ac:dyDescent="0.2">
      <c r="A1038" s="622">
        <v>22117205</v>
      </c>
      <c r="B1038" s="591" t="s">
        <v>2349</v>
      </c>
    </row>
    <row r="1039" spans="1:2" x14ac:dyDescent="0.2">
      <c r="A1039" s="622">
        <v>22207201</v>
      </c>
      <c r="B1039" s="591" t="s">
        <v>2350</v>
      </c>
    </row>
    <row r="1040" spans="1:2" x14ac:dyDescent="0.2">
      <c r="A1040" s="622">
        <v>22207205</v>
      </c>
      <c r="B1040" s="591" t="s">
        <v>2351</v>
      </c>
    </row>
    <row r="1041" spans="1:2" x14ac:dyDescent="0.2">
      <c r="A1041" s="622">
        <v>22217201</v>
      </c>
      <c r="B1041" s="591" t="s">
        <v>2350</v>
      </c>
    </row>
    <row r="1042" spans="1:2" x14ac:dyDescent="0.2">
      <c r="A1042" s="622">
        <v>22217205</v>
      </c>
      <c r="B1042" s="591" t="s">
        <v>2351</v>
      </c>
    </row>
    <row r="1043" spans="1:2" x14ac:dyDescent="0.2">
      <c r="A1043" s="623">
        <v>50007201</v>
      </c>
      <c r="B1043" s="624" t="s">
        <v>2352</v>
      </c>
    </row>
    <row r="1044" spans="1:2" x14ac:dyDescent="0.2">
      <c r="A1044" s="623">
        <v>50007205</v>
      </c>
      <c r="B1044" s="624" t="s">
        <v>2353</v>
      </c>
    </row>
    <row r="1045" spans="1:2" x14ac:dyDescent="0.2">
      <c r="A1045" s="622">
        <v>11008001</v>
      </c>
      <c r="B1045" s="591" t="s">
        <v>2354</v>
      </c>
    </row>
    <row r="1046" spans="1:2" x14ac:dyDescent="0.2">
      <c r="A1046" s="622">
        <v>11008005</v>
      </c>
      <c r="B1046" s="591" t="s">
        <v>2355</v>
      </c>
    </row>
    <row r="1047" spans="1:2" x14ac:dyDescent="0.2">
      <c r="A1047" s="622">
        <v>11018001</v>
      </c>
      <c r="B1047" s="591" t="s">
        <v>2354</v>
      </c>
    </row>
    <row r="1048" spans="1:2" x14ac:dyDescent="0.2">
      <c r="A1048" s="622">
        <v>11018005</v>
      </c>
      <c r="B1048" s="591" t="s">
        <v>2355</v>
      </c>
    </row>
    <row r="1049" spans="1:2" x14ac:dyDescent="0.2">
      <c r="A1049" s="622">
        <v>11108001</v>
      </c>
      <c r="B1049" s="591" t="s">
        <v>2356</v>
      </c>
    </row>
    <row r="1050" spans="1:2" x14ac:dyDescent="0.2">
      <c r="A1050" s="622">
        <v>11108005</v>
      </c>
      <c r="B1050" s="591" t="s">
        <v>2357</v>
      </c>
    </row>
    <row r="1051" spans="1:2" x14ac:dyDescent="0.2">
      <c r="A1051" s="622">
        <v>11118001</v>
      </c>
      <c r="B1051" s="591" t="s">
        <v>2356</v>
      </c>
    </row>
    <row r="1052" spans="1:2" x14ac:dyDescent="0.2">
      <c r="A1052" s="622">
        <v>11118005</v>
      </c>
      <c r="B1052" s="591" t="s">
        <v>2357</v>
      </c>
    </row>
    <row r="1053" spans="1:2" x14ac:dyDescent="0.2">
      <c r="A1053" s="622">
        <v>11208001</v>
      </c>
      <c r="B1053" s="591" t="s">
        <v>2358</v>
      </c>
    </row>
    <row r="1054" spans="1:2" x14ac:dyDescent="0.2">
      <c r="A1054" s="622">
        <v>11208005</v>
      </c>
      <c r="B1054" s="591" t="s">
        <v>2359</v>
      </c>
    </row>
    <row r="1055" spans="1:2" x14ac:dyDescent="0.2">
      <c r="A1055" s="622">
        <v>11218001</v>
      </c>
      <c r="B1055" s="591" t="s">
        <v>2358</v>
      </c>
    </row>
    <row r="1056" spans="1:2" x14ac:dyDescent="0.2">
      <c r="A1056" s="622">
        <v>11218005</v>
      </c>
      <c r="B1056" s="591" t="s">
        <v>2359</v>
      </c>
    </row>
    <row r="1057" spans="1:2" x14ac:dyDescent="0.2">
      <c r="A1057" s="622">
        <v>12008001</v>
      </c>
      <c r="B1057" s="591" t="s">
        <v>2360</v>
      </c>
    </row>
    <row r="1058" spans="1:2" x14ac:dyDescent="0.2">
      <c r="A1058" s="622">
        <v>12008005</v>
      </c>
      <c r="B1058" s="591" t="s">
        <v>2361</v>
      </c>
    </row>
    <row r="1059" spans="1:2" x14ac:dyDescent="0.2">
      <c r="A1059" s="622">
        <v>12018001</v>
      </c>
      <c r="B1059" s="591" t="s">
        <v>2360</v>
      </c>
    </row>
    <row r="1060" spans="1:2" x14ac:dyDescent="0.2">
      <c r="A1060" s="622">
        <v>12018005</v>
      </c>
      <c r="B1060" s="591" t="s">
        <v>2361</v>
      </c>
    </row>
    <row r="1061" spans="1:2" x14ac:dyDescent="0.2">
      <c r="A1061" s="622">
        <v>12108001</v>
      </c>
      <c r="B1061" s="591" t="s">
        <v>2362</v>
      </c>
    </row>
    <row r="1062" spans="1:2" x14ac:dyDescent="0.2">
      <c r="A1062" s="622">
        <v>12108005</v>
      </c>
      <c r="B1062" s="591" t="s">
        <v>2363</v>
      </c>
    </row>
    <row r="1063" spans="1:2" x14ac:dyDescent="0.2">
      <c r="A1063" s="622">
        <v>12118001</v>
      </c>
      <c r="B1063" s="591" t="s">
        <v>2362</v>
      </c>
    </row>
    <row r="1064" spans="1:2" x14ac:dyDescent="0.2">
      <c r="A1064" s="622">
        <v>12118005</v>
      </c>
      <c r="B1064" s="591" t="s">
        <v>2363</v>
      </c>
    </row>
    <row r="1065" spans="1:2" x14ac:dyDescent="0.2">
      <c r="A1065" s="622">
        <v>12208001</v>
      </c>
      <c r="B1065" s="591" t="s">
        <v>2364</v>
      </c>
    </row>
    <row r="1066" spans="1:2" x14ac:dyDescent="0.2">
      <c r="A1066" s="622">
        <v>12208005</v>
      </c>
      <c r="B1066" s="591" t="s">
        <v>2365</v>
      </c>
    </row>
    <row r="1067" spans="1:2" x14ac:dyDescent="0.2">
      <c r="A1067" s="622">
        <v>12218001</v>
      </c>
      <c r="B1067" s="591" t="s">
        <v>2364</v>
      </c>
    </row>
    <row r="1068" spans="1:2" x14ac:dyDescent="0.2">
      <c r="A1068" s="622">
        <v>12218005</v>
      </c>
      <c r="B1068" s="591" t="s">
        <v>2365</v>
      </c>
    </row>
    <row r="1069" spans="1:2" x14ac:dyDescent="0.2">
      <c r="A1069" s="622">
        <v>21008001</v>
      </c>
      <c r="B1069" s="591" t="s">
        <v>2366</v>
      </c>
    </row>
    <row r="1070" spans="1:2" x14ac:dyDescent="0.2">
      <c r="A1070" s="622">
        <v>21008005</v>
      </c>
      <c r="B1070" s="591" t="s">
        <v>2367</v>
      </c>
    </row>
    <row r="1071" spans="1:2" x14ac:dyDescent="0.2">
      <c r="A1071" s="622">
        <v>21018001</v>
      </c>
      <c r="B1071" s="591" t="s">
        <v>2366</v>
      </c>
    </row>
    <row r="1072" spans="1:2" x14ac:dyDescent="0.2">
      <c r="A1072" s="622">
        <v>21018005</v>
      </c>
      <c r="B1072" s="591" t="s">
        <v>2367</v>
      </c>
    </row>
    <row r="1073" spans="1:2" x14ac:dyDescent="0.2">
      <c r="A1073" s="622">
        <v>21108001</v>
      </c>
      <c r="B1073" s="591" t="s">
        <v>2368</v>
      </c>
    </row>
    <row r="1074" spans="1:2" x14ac:dyDescent="0.2">
      <c r="A1074" s="622">
        <v>21108005</v>
      </c>
      <c r="B1074" s="591" t="s">
        <v>2369</v>
      </c>
    </row>
    <row r="1075" spans="1:2" x14ac:dyDescent="0.2">
      <c r="A1075" s="622">
        <v>21118001</v>
      </c>
      <c r="B1075" s="591" t="s">
        <v>2368</v>
      </c>
    </row>
    <row r="1076" spans="1:2" x14ac:dyDescent="0.2">
      <c r="A1076" s="622">
        <v>21118005</v>
      </c>
      <c r="B1076" s="591" t="s">
        <v>2369</v>
      </c>
    </row>
    <row r="1077" spans="1:2" x14ac:dyDescent="0.2">
      <c r="A1077" s="622">
        <v>21208001</v>
      </c>
      <c r="B1077" s="591" t="s">
        <v>2370</v>
      </c>
    </row>
    <row r="1078" spans="1:2" x14ac:dyDescent="0.2">
      <c r="A1078" s="622">
        <v>21208005</v>
      </c>
      <c r="B1078" s="591" t="s">
        <v>2371</v>
      </c>
    </row>
    <row r="1079" spans="1:2" x14ac:dyDescent="0.2">
      <c r="A1079" s="622">
        <v>21218001</v>
      </c>
      <c r="B1079" s="591" t="s">
        <v>2370</v>
      </c>
    </row>
    <row r="1080" spans="1:2" x14ac:dyDescent="0.2">
      <c r="A1080" s="622">
        <v>21218005</v>
      </c>
      <c r="B1080" s="591" t="s">
        <v>2371</v>
      </c>
    </row>
    <row r="1081" spans="1:2" x14ac:dyDescent="0.2">
      <c r="A1081" s="622">
        <v>22008001</v>
      </c>
      <c r="B1081" s="591" t="s">
        <v>2372</v>
      </c>
    </row>
    <row r="1082" spans="1:2" x14ac:dyDescent="0.2">
      <c r="A1082" s="622">
        <v>22008005</v>
      </c>
      <c r="B1082" s="591" t="s">
        <v>2373</v>
      </c>
    </row>
    <row r="1083" spans="1:2" x14ac:dyDescent="0.2">
      <c r="A1083" s="622">
        <v>22018001</v>
      </c>
      <c r="B1083" s="591" t="s">
        <v>2372</v>
      </c>
    </row>
    <row r="1084" spans="1:2" x14ac:dyDescent="0.2">
      <c r="A1084" s="622">
        <v>22018005</v>
      </c>
      <c r="B1084" s="591" t="s">
        <v>2373</v>
      </c>
    </row>
    <row r="1085" spans="1:2" x14ac:dyDescent="0.2">
      <c r="A1085" s="622">
        <v>22108001</v>
      </c>
      <c r="B1085" s="591" t="s">
        <v>2374</v>
      </c>
    </row>
    <row r="1086" spans="1:2" x14ac:dyDescent="0.2">
      <c r="A1086" s="622">
        <v>22108005</v>
      </c>
      <c r="B1086" s="591" t="s">
        <v>2375</v>
      </c>
    </row>
    <row r="1087" spans="1:2" x14ac:dyDescent="0.2">
      <c r="A1087" s="622">
        <v>22118001</v>
      </c>
      <c r="B1087" s="591" t="s">
        <v>2374</v>
      </c>
    </row>
    <row r="1088" spans="1:2" x14ac:dyDescent="0.2">
      <c r="A1088" s="622">
        <v>22118005</v>
      </c>
      <c r="B1088" s="591" t="s">
        <v>2375</v>
      </c>
    </row>
    <row r="1089" spans="1:2" x14ac:dyDescent="0.2">
      <c r="A1089" s="622">
        <v>22208001</v>
      </c>
      <c r="B1089" s="591" t="s">
        <v>2376</v>
      </c>
    </row>
    <row r="1090" spans="1:2" x14ac:dyDescent="0.2">
      <c r="A1090" s="622">
        <v>22208005</v>
      </c>
      <c r="B1090" s="591" t="s">
        <v>2377</v>
      </c>
    </row>
    <row r="1091" spans="1:2" x14ac:dyDescent="0.2">
      <c r="A1091" s="622">
        <v>22218001</v>
      </c>
      <c r="B1091" s="591" t="s">
        <v>2376</v>
      </c>
    </row>
    <row r="1092" spans="1:2" x14ac:dyDescent="0.2">
      <c r="A1092" s="622">
        <v>22218005</v>
      </c>
      <c r="B1092" s="591" t="s">
        <v>2377</v>
      </c>
    </row>
    <row r="1093" spans="1:2" x14ac:dyDescent="0.2">
      <c r="A1093" s="623">
        <v>50008001</v>
      </c>
      <c r="B1093" s="624" t="s">
        <v>2378</v>
      </c>
    </row>
    <row r="1094" spans="1:2" x14ac:dyDescent="0.2">
      <c r="A1094" s="623">
        <v>50008005</v>
      </c>
      <c r="B1094" s="624" t="s">
        <v>2379</v>
      </c>
    </row>
    <row r="1095" spans="1:2" x14ac:dyDescent="0.2">
      <c r="A1095" s="622">
        <v>11008101</v>
      </c>
      <c r="B1095" s="591" t="s">
        <v>2380</v>
      </c>
    </row>
    <row r="1096" spans="1:2" x14ac:dyDescent="0.2">
      <c r="A1096" s="622">
        <v>11008105</v>
      </c>
      <c r="B1096" s="591" t="s">
        <v>2381</v>
      </c>
    </row>
    <row r="1097" spans="1:2" x14ac:dyDescent="0.2">
      <c r="A1097" s="622">
        <v>11018101</v>
      </c>
      <c r="B1097" s="591" t="s">
        <v>2380</v>
      </c>
    </row>
    <row r="1098" spans="1:2" x14ac:dyDescent="0.2">
      <c r="A1098" s="622">
        <v>11018105</v>
      </c>
      <c r="B1098" s="591" t="s">
        <v>2381</v>
      </c>
    </row>
    <row r="1099" spans="1:2" x14ac:dyDescent="0.2">
      <c r="A1099" s="622">
        <v>11108101</v>
      </c>
      <c r="B1099" s="591" t="s">
        <v>2382</v>
      </c>
    </row>
    <row r="1100" spans="1:2" x14ac:dyDescent="0.2">
      <c r="A1100" s="622">
        <v>11108105</v>
      </c>
      <c r="B1100" s="591" t="s">
        <v>2383</v>
      </c>
    </row>
    <row r="1101" spans="1:2" x14ac:dyDescent="0.2">
      <c r="A1101" s="622">
        <v>11118101</v>
      </c>
      <c r="B1101" s="591" t="s">
        <v>2382</v>
      </c>
    </row>
    <row r="1102" spans="1:2" x14ac:dyDescent="0.2">
      <c r="A1102" s="622">
        <v>11118105</v>
      </c>
      <c r="B1102" s="591" t="s">
        <v>2383</v>
      </c>
    </row>
    <row r="1103" spans="1:2" x14ac:dyDescent="0.2">
      <c r="A1103" s="622">
        <v>11208101</v>
      </c>
      <c r="B1103" s="591" t="s">
        <v>2384</v>
      </c>
    </row>
    <row r="1104" spans="1:2" x14ac:dyDescent="0.2">
      <c r="A1104" s="622">
        <v>11208105</v>
      </c>
      <c r="B1104" s="591" t="s">
        <v>2385</v>
      </c>
    </row>
    <row r="1105" spans="1:2" x14ac:dyDescent="0.2">
      <c r="A1105" s="622">
        <v>11218101</v>
      </c>
      <c r="B1105" s="591" t="s">
        <v>2384</v>
      </c>
    </row>
    <row r="1106" spans="1:2" x14ac:dyDescent="0.2">
      <c r="A1106" s="622">
        <v>11218105</v>
      </c>
      <c r="B1106" s="591" t="s">
        <v>2385</v>
      </c>
    </row>
    <row r="1107" spans="1:2" x14ac:dyDescent="0.2">
      <c r="A1107" s="622">
        <v>12008101</v>
      </c>
      <c r="B1107" s="591" t="s">
        <v>2386</v>
      </c>
    </row>
    <row r="1108" spans="1:2" x14ac:dyDescent="0.2">
      <c r="A1108" s="622">
        <v>12008105</v>
      </c>
      <c r="B1108" s="591" t="s">
        <v>2387</v>
      </c>
    </row>
    <row r="1109" spans="1:2" x14ac:dyDescent="0.2">
      <c r="A1109" s="622">
        <v>12018101</v>
      </c>
      <c r="B1109" s="591" t="s">
        <v>2386</v>
      </c>
    </row>
    <row r="1110" spans="1:2" x14ac:dyDescent="0.2">
      <c r="A1110" s="622">
        <v>12018105</v>
      </c>
      <c r="B1110" s="591" t="s">
        <v>2387</v>
      </c>
    </row>
    <row r="1111" spans="1:2" x14ac:dyDescent="0.2">
      <c r="A1111" s="622">
        <v>12108101</v>
      </c>
      <c r="B1111" s="591" t="s">
        <v>2388</v>
      </c>
    </row>
    <row r="1112" spans="1:2" x14ac:dyDescent="0.2">
      <c r="A1112" s="622">
        <v>12108105</v>
      </c>
      <c r="B1112" s="591" t="s">
        <v>2389</v>
      </c>
    </row>
    <row r="1113" spans="1:2" x14ac:dyDescent="0.2">
      <c r="A1113" s="622">
        <v>12118101</v>
      </c>
      <c r="B1113" s="591" t="s">
        <v>2388</v>
      </c>
    </row>
    <row r="1114" spans="1:2" x14ac:dyDescent="0.2">
      <c r="A1114" s="622">
        <v>12118105</v>
      </c>
      <c r="B1114" s="591" t="s">
        <v>2389</v>
      </c>
    </row>
    <row r="1115" spans="1:2" x14ac:dyDescent="0.2">
      <c r="A1115" s="622">
        <v>12208101</v>
      </c>
      <c r="B1115" s="591" t="s">
        <v>2390</v>
      </c>
    </row>
    <row r="1116" spans="1:2" x14ac:dyDescent="0.2">
      <c r="A1116" s="622">
        <v>12208105</v>
      </c>
      <c r="B1116" s="591" t="s">
        <v>2391</v>
      </c>
    </row>
    <row r="1117" spans="1:2" x14ac:dyDescent="0.2">
      <c r="A1117" s="622">
        <v>12218101</v>
      </c>
      <c r="B1117" s="591" t="s">
        <v>2390</v>
      </c>
    </row>
    <row r="1118" spans="1:2" x14ac:dyDescent="0.2">
      <c r="A1118" s="622">
        <v>12218105</v>
      </c>
      <c r="B1118" s="591" t="s">
        <v>2391</v>
      </c>
    </row>
    <row r="1119" spans="1:2" x14ac:dyDescent="0.2">
      <c r="A1119" s="622">
        <v>21008101</v>
      </c>
      <c r="B1119" s="591" t="s">
        <v>2392</v>
      </c>
    </row>
    <row r="1120" spans="1:2" x14ac:dyDescent="0.2">
      <c r="A1120" s="622">
        <v>21008105</v>
      </c>
      <c r="B1120" s="591" t="s">
        <v>2393</v>
      </c>
    </row>
    <row r="1121" spans="1:2" x14ac:dyDescent="0.2">
      <c r="A1121" s="622">
        <v>21018101</v>
      </c>
      <c r="B1121" s="591" t="s">
        <v>2392</v>
      </c>
    </row>
    <row r="1122" spans="1:2" x14ac:dyDescent="0.2">
      <c r="A1122" s="622">
        <v>21018105</v>
      </c>
      <c r="B1122" s="591" t="s">
        <v>2393</v>
      </c>
    </row>
    <row r="1123" spans="1:2" x14ac:dyDescent="0.2">
      <c r="A1123" s="622">
        <v>21108101</v>
      </c>
      <c r="B1123" s="591" t="s">
        <v>2394</v>
      </c>
    </row>
    <row r="1124" spans="1:2" x14ac:dyDescent="0.2">
      <c r="A1124" s="622">
        <v>21108105</v>
      </c>
      <c r="B1124" s="591" t="s">
        <v>2395</v>
      </c>
    </row>
    <row r="1125" spans="1:2" x14ac:dyDescent="0.2">
      <c r="A1125" s="622">
        <v>21118101</v>
      </c>
      <c r="B1125" s="591" t="s">
        <v>2394</v>
      </c>
    </row>
    <row r="1126" spans="1:2" x14ac:dyDescent="0.2">
      <c r="A1126" s="622">
        <v>21118105</v>
      </c>
      <c r="B1126" s="591" t="s">
        <v>2395</v>
      </c>
    </row>
    <row r="1127" spans="1:2" x14ac:dyDescent="0.2">
      <c r="A1127" s="622">
        <v>21208101</v>
      </c>
      <c r="B1127" s="591" t="s">
        <v>2396</v>
      </c>
    </row>
    <row r="1128" spans="1:2" x14ac:dyDescent="0.2">
      <c r="A1128" s="622">
        <v>21208105</v>
      </c>
      <c r="B1128" s="591" t="s">
        <v>2397</v>
      </c>
    </row>
    <row r="1129" spans="1:2" x14ac:dyDescent="0.2">
      <c r="A1129" s="622">
        <v>21218101</v>
      </c>
      <c r="B1129" s="591" t="s">
        <v>2396</v>
      </c>
    </row>
    <row r="1130" spans="1:2" x14ac:dyDescent="0.2">
      <c r="A1130" s="622">
        <v>21218105</v>
      </c>
      <c r="B1130" s="591" t="s">
        <v>2397</v>
      </c>
    </row>
    <row r="1131" spans="1:2" x14ac:dyDescent="0.2">
      <c r="A1131" s="622">
        <v>22008101</v>
      </c>
      <c r="B1131" s="591" t="s">
        <v>2398</v>
      </c>
    </row>
    <row r="1132" spans="1:2" x14ac:dyDescent="0.2">
      <c r="A1132" s="622">
        <v>22008105</v>
      </c>
      <c r="B1132" s="591" t="s">
        <v>2399</v>
      </c>
    </row>
    <row r="1133" spans="1:2" x14ac:dyDescent="0.2">
      <c r="A1133" s="622">
        <v>22018101</v>
      </c>
      <c r="B1133" s="591" t="s">
        <v>2398</v>
      </c>
    </row>
    <row r="1134" spans="1:2" x14ac:dyDescent="0.2">
      <c r="A1134" s="622">
        <v>22018105</v>
      </c>
      <c r="B1134" s="591" t="s">
        <v>2399</v>
      </c>
    </row>
    <row r="1135" spans="1:2" x14ac:dyDescent="0.2">
      <c r="A1135" s="622">
        <v>22108101</v>
      </c>
      <c r="B1135" s="591" t="s">
        <v>2400</v>
      </c>
    </row>
    <row r="1136" spans="1:2" x14ac:dyDescent="0.2">
      <c r="A1136" s="622">
        <v>22108105</v>
      </c>
      <c r="B1136" s="591" t="s">
        <v>2401</v>
      </c>
    </row>
    <row r="1137" spans="1:2" x14ac:dyDescent="0.2">
      <c r="A1137" s="622">
        <v>22118101</v>
      </c>
      <c r="B1137" s="591" t="s">
        <v>2400</v>
      </c>
    </row>
    <row r="1138" spans="1:2" x14ac:dyDescent="0.2">
      <c r="A1138" s="622">
        <v>22118105</v>
      </c>
      <c r="B1138" s="591" t="s">
        <v>2401</v>
      </c>
    </row>
    <row r="1139" spans="1:2" x14ac:dyDescent="0.2">
      <c r="A1139" s="622">
        <v>22208101</v>
      </c>
      <c r="B1139" s="591" t="s">
        <v>2402</v>
      </c>
    </row>
    <row r="1140" spans="1:2" x14ac:dyDescent="0.2">
      <c r="A1140" s="622">
        <v>22208105</v>
      </c>
      <c r="B1140" s="591" t="s">
        <v>2403</v>
      </c>
    </row>
    <row r="1141" spans="1:2" x14ac:dyDescent="0.2">
      <c r="A1141" s="622">
        <v>22218101</v>
      </c>
      <c r="B1141" s="591" t="s">
        <v>2402</v>
      </c>
    </row>
    <row r="1142" spans="1:2" x14ac:dyDescent="0.2">
      <c r="A1142" s="622">
        <v>22218105</v>
      </c>
      <c r="B1142" s="591" t="s">
        <v>2403</v>
      </c>
    </row>
    <row r="1143" spans="1:2" x14ac:dyDescent="0.2">
      <c r="A1143" s="623">
        <v>50008101</v>
      </c>
      <c r="B1143" s="624" t="s">
        <v>2404</v>
      </c>
    </row>
    <row r="1144" spans="1:2" x14ac:dyDescent="0.2">
      <c r="A1144" s="623">
        <v>50008105</v>
      </c>
      <c r="B1144" s="624" t="s">
        <v>2405</v>
      </c>
    </row>
    <row r="1145" spans="1:2" x14ac:dyDescent="0.2">
      <c r="A1145" s="622">
        <v>11008201</v>
      </c>
      <c r="B1145" s="591" t="s">
        <v>2406</v>
      </c>
    </row>
    <row r="1146" spans="1:2" x14ac:dyDescent="0.2">
      <c r="A1146" s="622">
        <v>11008205</v>
      </c>
      <c r="B1146" s="591" t="s">
        <v>2407</v>
      </c>
    </row>
    <row r="1147" spans="1:2" x14ac:dyDescent="0.2">
      <c r="A1147" s="622">
        <v>11018201</v>
      </c>
      <c r="B1147" s="591" t="s">
        <v>2406</v>
      </c>
    </row>
    <row r="1148" spans="1:2" x14ac:dyDescent="0.2">
      <c r="A1148" s="622">
        <v>11018205</v>
      </c>
      <c r="B1148" s="591" t="s">
        <v>2407</v>
      </c>
    </row>
    <row r="1149" spans="1:2" x14ac:dyDescent="0.2">
      <c r="A1149" s="622">
        <v>11108201</v>
      </c>
      <c r="B1149" s="591" t="s">
        <v>2408</v>
      </c>
    </row>
    <row r="1150" spans="1:2" x14ac:dyDescent="0.2">
      <c r="A1150" s="622">
        <v>11108205</v>
      </c>
      <c r="B1150" s="591" t="s">
        <v>2409</v>
      </c>
    </row>
    <row r="1151" spans="1:2" x14ac:dyDescent="0.2">
      <c r="A1151" s="622">
        <v>11118201</v>
      </c>
      <c r="B1151" s="591" t="s">
        <v>2408</v>
      </c>
    </row>
    <row r="1152" spans="1:2" x14ac:dyDescent="0.2">
      <c r="A1152" s="622">
        <v>11118205</v>
      </c>
      <c r="B1152" s="591" t="s">
        <v>2409</v>
      </c>
    </row>
    <row r="1153" spans="1:2" x14ac:dyDescent="0.2">
      <c r="A1153" s="622">
        <v>11208201</v>
      </c>
      <c r="B1153" s="591" t="s">
        <v>2410</v>
      </c>
    </row>
    <row r="1154" spans="1:2" x14ac:dyDescent="0.2">
      <c r="A1154" s="622">
        <v>11208205</v>
      </c>
      <c r="B1154" s="591" t="s">
        <v>2411</v>
      </c>
    </row>
    <row r="1155" spans="1:2" x14ac:dyDescent="0.2">
      <c r="A1155" s="622">
        <v>11218201</v>
      </c>
      <c r="B1155" s="591" t="s">
        <v>2410</v>
      </c>
    </row>
    <row r="1156" spans="1:2" x14ac:dyDescent="0.2">
      <c r="A1156" s="622">
        <v>11218205</v>
      </c>
      <c r="B1156" s="591" t="s">
        <v>2411</v>
      </c>
    </row>
    <row r="1157" spans="1:2" x14ac:dyDescent="0.2">
      <c r="A1157" s="622">
        <v>12008201</v>
      </c>
      <c r="B1157" s="591" t="s">
        <v>2412</v>
      </c>
    </row>
    <row r="1158" spans="1:2" x14ac:dyDescent="0.2">
      <c r="A1158" s="622">
        <v>12008205</v>
      </c>
      <c r="B1158" s="591" t="s">
        <v>2413</v>
      </c>
    </row>
    <row r="1159" spans="1:2" x14ac:dyDescent="0.2">
      <c r="A1159" s="622">
        <v>12018201</v>
      </c>
      <c r="B1159" s="591" t="s">
        <v>2412</v>
      </c>
    </row>
    <row r="1160" spans="1:2" x14ac:dyDescent="0.2">
      <c r="A1160" s="622">
        <v>12018205</v>
      </c>
      <c r="B1160" s="591" t="s">
        <v>2413</v>
      </c>
    </row>
    <row r="1161" spans="1:2" x14ac:dyDescent="0.2">
      <c r="A1161" s="622">
        <v>12108201</v>
      </c>
      <c r="B1161" s="591" t="s">
        <v>2414</v>
      </c>
    </row>
    <row r="1162" spans="1:2" x14ac:dyDescent="0.2">
      <c r="A1162" s="622">
        <v>12108205</v>
      </c>
      <c r="B1162" s="591" t="s">
        <v>2415</v>
      </c>
    </row>
    <row r="1163" spans="1:2" x14ac:dyDescent="0.2">
      <c r="A1163" s="622">
        <v>12118201</v>
      </c>
      <c r="B1163" s="591" t="s">
        <v>2414</v>
      </c>
    </row>
    <row r="1164" spans="1:2" x14ac:dyDescent="0.2">
      <c r="A1164" s="622">
        <v>12118205</v>
      </c>
      <c r="B1164" s="591" t="s">
        <v>2415</v>
      </c>
    </row>
    <row r="1165" spans="1:2" x14ac:dyDescent="0.2">
      <c r="A1165" s="622">
        <v>12208201</v>
      </c>
      <c r="B1165" s="591" t="s">
        <v>2416</v>
      </c>
    </row>
    <row r="1166" spans="1:2" x14ac:dyDescent="0.2">
      <c r="A1166" s="622">
        <v>12208205</v>
      </c>
      <c r="B1166" s="591" t="s">
        <v>2417</v>
      </c>
    </row>
    <row r="1167" spans="1:2" x14ac:dyDescent="0.2">
      <c r="A1167" s="622">
        <v>12218201</v>
      </c>
      <c r="B1167" s="591" t="s">
        <v>2416</v>
      </c>
    </row>
    <row r="1168" spans="1:2" x14ac:dyDescent="0.2">
      <c r="A1168" s="622">
        <v>12218205</v>
      </c>
      <c r="B1168" s="591" t="s">
        <v>2417</v>
      </c>
    </row>
    <row r="1169" spans="1:2" x14ac:dyDescent="0.2">
      <c r="A1169" s="622">
        <v>21008201</v>
      </c>
      <c r="B1169" s="591" t="s">
        <v>2418</v>
      </c>
    </row>
    <row r="1170" spans="1:2" x14ac:dyDescent="0.2">
      <c r="A1170" s="622">
        <v>21008205</v>
      </c>
      <c r="B1170" s="591" t="s">
        <v>2419</v>
      </c>
    </row>
    <row r="1171" spans="1:2" x14ac:dyDescent="0.2">
      <c r="A1171" s="622">
        <v>21018201</v>
      </c>
      <c r="B1171" s="591" t="s">
        <v>2418</v>
      </c>
    </row>
    <row r="1172" spans="1:2" x14ac:dyDescent="0.2">
      <c r="A1172" s="622">
        <v>21018205</v>
      </c>
      <c r="B1172" s="591" t="s">
        <v>2419</v>
      </c>
    </row>
    <row r="1173" spans="1:2" x14ac:dyDescent="0.2">
      <c r="A1173" s="622">
        <v>21108201</v>
      </c>
      <c r="B1173" s="591" t="s">
        <v>2420</v>
      </c>
    </row>
    <row r="1174" spans="1:2" x14ac:dyDescent="0.2">
      <c r="A1174" s="622">
        <v>21108205</v>
      </c>
      <c r="B1174" s="591" t="s">
        <v>2421</v>
      </c>
    </row>
    <row r="1175" spans="1:2" x14ac:dyDescent="0.2">
      <c r="A1175" s="622">
        <v>21118201</v>
      </c>
      <c r="B1175" s="591" t="s">
        <v>2420</v>
      </c>
    </row>
    <row r="1176" spans="1:2" x14ac:dyDescent="0.2">
      <c r="A1176" s="622">
        <v>21118205</v>
      </c>
      <c r="B1176" s="591" t="s">
        <v>2421</v>
      </c>
    </row>
    <row r="1177" spans="1:2" x14ac:dyDescent="0.2">
      <c r="A1177" s="622">
        <v>21208201</v>
      </c>
      <c r="B1177" s="591" t="s">
        <v>2422</v>
      </c>
    </row>
    <row r="1178" spans="1:2" x14ac:dyDescent="0.2">
      <c r="A1178" s="622">
        <v>21208205</v>
      </c>
      <c r="B1178" s="591" t="s">
        <v>2423</v>
      </c>
    </row>
    <row r="1179" spans="1:2" x14ac:dyDescent="0.2">
      <c r="A1179" s="622">
        <v>21218201</v>
      </c>
      <c r="B1179" s="591" t="s">
        <v>2422</v>
      </c>
    </row>
    <row r="1180" spans="1:2" x14ac:dyDescent="0.2">
      <c r="A1180" s="622">
        <v>21218205</v>
      </c>
      <c r="B1180" s="591" t="s">
        <v>2423</v>
      </c>
    </row>
    <row r="1181" spans="1:2" x14ac:dyDescent="0.2">
      <c r="A1181" s="622">
        <v>22008201</v>
      </c>
      <c r="B1181" s="591" t="s">
        <v>2424</v>
      </c>
    </row>
    <row r="1182" spans="1:2" x14ac:dyDescent="0.2">
      <c r="A1182" s="622">
        <v>22008205</v>
      </c>
      <c r="B1182" s="591" t="s">
        <v>2425</v>
      </c>
    </row>
    <row r="1183" spans="1:2" x14ac:dyDescent="0.2">
      <c r="A1183" s="622">
        <v>22018201</v>
      </c>
      <c r="B1183" s="591" t="s">
        <v>2424</v>
      </c>
    </row>
    <row r="1184" spans="1:2" x14ac:dyDescent="0.2">
      <c r="A1184" s="622">
        <v>22018205</v>
      </c>
      <c r="B1184" s="591" t="s">
        <v>2425</v>
      </c>
    </row>
    <row r="1185" spans="1:2" x14ac:dyDescent="0.2">
      <c r="A1185" s="622">
        <v>22108201</v>
      </c>
      <c r="B1185" s="591" t="s">
        <v>2426</v>
      </c>
    </row>
    <row r="1186" spans="1:2" x14ac:dyDescent="0.2">
      <c r="A1186" s="622">
        <v>22108205</v>
      </c>
      <c r="B1186" s="591" t="s">
        <v>2427</v>
      </c>
    </row>
    <row r="1187" spans="1:2" x14ac:dyDescent="0.2">
      <c r="A1187" s="622">
        <v>22118201</v>
      </c>
      <c r="B1187" s="591" t="s">
        <v>2426</v>
      </c>
    </row>
    <row r="1188" spans="1:2" x14ac:dyDescent="0.2">
      <c r="A1188" s="622">
        <v>22118205</v>
      </c>
      <c r="B1188" s="591" t="s">
        <v>2427</v>
      </c>
    </row>
    <row r="1189" spans="1:2" x14ac:dyDescent="0.2">
      <c r="A1189" s="622">
        <v>22208201</v>
      </c>
      <c r="B1189" s="591" t="s">
        <v>2428</v>
      </c>
    </row>
    <row r="1190" spans="1:2" x14ac:dyDescent="0.2">
      <c r="A1190" s="622">
        <v>22208205</v>
      </c>
      <c r="B1190" s="591" t="s">
        <v>2429</v>
      </c>
    </row>
    <row r="1191" spans="1:2" x14ac:dyDescent="0.2">
      <c r="A1191" s="622">
        <v>22218201</v>
      </c>
      <c r="B1191" s="591" t="s">
        <v>2428</v>
      </c>
    </row>
    <row r="1192" spans="1:2" x14ac:dyDescent="0.2">
      <c r="A1192" s="622">
        <v>22218205</v>
      </c>
      <c r="B1192" s="591" t="s">
        <v>2429</v>
      </c>
    </row>
    <row r="1193" spans="1:2" x14ac:dyDescent="0.2">
      <c r="A1193" s="623">
        <v>50008201</v>
      </c>
      <c r="B1193" s="624" t="s">
        <v>2430</v>
      </c>
    </row>
    <row r="1194" spans="1:2" x14ac:dyDescent="0.2">
      <c r="A1194" s="623">
        <v>50008205</v>
      </c>
      <c r="B1194" s="624" t="s">
        <v>2431</v>
      </c>
    </row>
    <row r="1195" spans="1:2" x14ac:dyDescent="0.2">
      <c r="A1195" s="622">
        <v>11009001</v>
      </c>
      <c r="B1195" s="591" t="s">
        <v>2432</v>
      </c>
    </row>
    <row r="1196" spans="1:2" x14ac:dyDescent="0.2">
      <c r="A1196" s="622">
        <v>11009005</v>
      </c>
      <c r="B1196" s="591" t="s">
        <v>2433</v>
      </c>
    </row>
    <row r="1197" spans="1:2" x14ac:dyDescent="0.2">
      <c r="A1197" s="622">
        <v>11019001</v>
      </c>
      <c r="B1197" s="591" t="s">
        <v>2432</v>
      </c>
    </row>
    <row r="1198" spans="1:2" x14ac:dyDescent="0.2">
      <c r="A1198" s="622">
        <v>11019005</v>
      </c>
      <c r="B1198" s="591" t="s">
        <v>2433</v>
      </c>
    </row>
    <row r="1199" spans="1:2" x14ac:dyDescent="0.2">
      <c r="A1199" s="622">
        <v>11109001</v>
      </c>
      <c r="B1199" s="591" t="s">
        <v>2434</v>
      </c>
    </row>
    <row r="1200" spans="1:2" x14ac:dyDescent="0.2">
      <c r="A1200" s="622">
        <v>11109005</v>
      </c>
      <c r="B1200" s="591" t="s">
        <v>2435</v>
      </c>
    </row>
    <row r="1201" spans="1:2" x14ac:dyDescent="0.2">
      <c r="A1201" s="622">
        <v>11119001</v>
      </c>
      <c r="B1201" s="591" t="s">
        <v>2434</v>
      </c>
    </row>
    <row r="1202" spans="1:2" x14ac:dyDescent="0.2">
      <c r="A1202" s="622">
        <v>11119005</v>
      </c>
      <c r="B1202" s="591" t="s">
        <v>2435</v>
      </c>
    </row>
    <row r="1203" spans="1:2" x14ac:dyDescent="0.2">
      <c r="A1203" s="622">
        <v>11209001</v>
      </c>
      <c r="B1203" s="591" t="s">
        <v>2436</v>
      </c>
    </row>
    <row r="1204" spans="1:2" x14ac:dyDescent="0.2">
      <c r="A1204" s="622">
        <v>11209005</v>
      </c>
      <c r="B1204" s="591" t="s">
        <v>2437</v>
      </c>
    </row>
    <row r="1205" spans="1:2" x14ac:dyDescent="0.2">
      <c r="A1205" s="622">
        <v>11219001</v>
      </c>
      <c r="B1205" s="591" t="s">
        <v>2436</v>
      </c>
    </row>
    <row r="1206" spans="1:2" x14ac:dyDescent="0.2">
      <c r="A1206" s="622">
        <v>11219005</v>
      </c>
      <c r="B1206" s="591" t="s">
        <v>2437</v>
      </c>
    </row>
    <row r="1207" spans="1:2" x14ac:dyDescent="0.2">
      <c r="A1207" s="622">
        <v>12009001</v>
      </c>
      <c r="B1207" s="591" t="s">
        <v>2438</v>
      </c>
    </row>
    <row r="1208" spans="1:2" x14ac:dyDescent="0.2">
      <c r="A1208" s="622">
        <v>12009005</v>
      </c>
      <c r="B1208" s="591" t="s">
        <v>2439</v>
      </c>
    </row>
    <row r="1209" spans="1:2" x14ac:dyDescent="0.2">
      <c r="A1209" s="622">
        <v>12019001</v>
      </c>
      <c r="B1209" s="591" t="s">
        <v>2438</v>
      </c>
    </row>
    <row r="1210" spans="1:2" x14ac:dyDescent="0.2">
      <c r="A1210" s="622">
        <v>12019005</v>
      </c>
      <c r="B1210" s="591" t="s">
        <v>2439</v>
      </c>
    </row>
    <row r="1211" spans="1:2" x14ac:dyDescent="0.2">
      <c r="A1211" s="622">
        <v>12109001</v>
      </c>
      <c r="B1211" s="591" t="s">
        <v>2440</v>
      </c>
    </row>
    <row r="1212" spans="1:2" x14ac:dyDescent="0.2">
      <c r="A1212" s="622">
        <v>12109005</v>
      </c>
      <c r="B1212" s="591" t="s">
        <v>2441</v>
      </c>
    </row>
    <row r="1213" spans="1:2" x14ac:dyDescent="0.2">
      <c r="A1213" s="622">
        <v>12119001</v>
      </c>
      <c r="B1213" s="591" t="s">
        <v>2440</v>
      </c>
    </row>
    <row r="1214" spans="1:2" x14ac:dyDescent="0.2">
      <c r="A1214" s="622">
        <v>12119005</v>
      </c>
      <c r="B1214" s="591" t="s">
        <v>2441</v>
      </c>
    </row>
    <row r="1215" spans="1:2" x14ac:dyDescent="0.2">
      <c r="A1215" s="622">
        <v>12209001</v>
      </c>
      <c r="B1215" s="591" t="s">
        <v>2442</v>
      </c>
    </row>
    <row r="1216" spans="1:2" x14ac:dyDescent="0.2">
      <c r="A1216" s="622">
        <v>12209005</v>
      </c>
      <c r="B1216" s="591" t="s">
        <v>2443</v>
      </c>
    </row>
    <row r="1217" spans="1:2" x14ac:dyDescent="0.2">
      <c r="A1217" s="622">
        <v>12219001</v>
      </c>
      <c r="B1217" s="591" t="s">
        <v>2442</v>
      </c>
    </row>
    <row r="1218" spans="1:2" x14ac:dyDescent="0.2">
      <c r="A1218" s="622">
        <v>12219005</v>
      </c>
      <c r="B1218" s="591" t="s">
        <v>2443</v>
      </c>
    </row>
    <row r="1219" spans="1:2" x14ac:dyDescent="0.2">
      <c r="A1219" s="622">
        <v>21009001</v>
      </c>
      <c r="B1219" s="591" t="s">
        <v>2444</v>
      </c>
    </row>
    <row r="1220" spans="1:2" x14ac:dyDescent="0.2">
      <c r="A1220" s="622">
        <v>21009005</v>
      </c>
      <c r="B1220" s="591" t="s">
        <v>2445</v>
      </c>
    </row>
    <row r="1221" spans="1:2" x14ac:dyDescent="0.2">
      <c r="A1221" s="622">
        <v>21019001</v>
      </c>
      <c r="B1221" s="591" t="s">
        <v>2444</v>
      </c>
    </row>
    <row r="1222" spans="1:2" x14ac:dyDescent="0.2">
      <c r="A1222" s="622">
        <v>21019005</v>
      </c>
      <c r="B1222" s="591" t="s">
        <v>2445</v>
      </c>
    </row>
    <row r="1223" spans="1:2" x14ac:dyDescent="0.2">
      <c r="A1223" s="622">
        <v>21109001</v>
      </c>
      <c r="B1223" s="591" t="s">
        <v>2446</v>
      </c>
    </row>
    <row r="1224" spans="1:2" x14ac:dyDescent="0.2">
      <c r="A1224" s="622">
        <v>21109005</v>
      </c>
      <c r="B1224" s="591" t="s">
        <v>2447</v>
      </c>
    </row>
    <row r="1225" spans="1:2" x14ac:dyDescent="0.2">
      <c r="A1225" s="622">
        <v>21119001</v>
      </c>
      <c r="B1225" s="591" t="s">
        <v>2446</v>
      </c>
    </row>
    <row r="1226" spans="1:2" x14ac:dyDescent="0.2">
      <c r="A1226" s="622">
        <v>21119005</v>
      </c>
      <c r="B1226" s="591" t="s">
        <v>2447</v>
      </c>
    </row>
    <row r="1227" spans="1:2" x14ac:dyDescent="0.2">
      <c r="A1227" s="622">
        <v>21209001</v>
      </c>
      <c r="B1227" s="591" t="s">
        <v>2448</v>
      </c>
    </row>
    <row r="1228" spans="1:2" x14ac:dyDescent="0.2">
      <c r="A1228" s="622">
        <v>21209005</v>
      </c>
      <c r="B1228" s="591" t="s">
        <v>2449</v>
      </c>
    </row>
    <row r="1229" spans="1:2" x14ac:dyDescent="0.2">
      <c r="A1229" s="622">
        <v>21219001</v>
      </c>
      <c r="B1229" s="591" t="s">
        <v>2448</v>
      </c>
    </row>
    <row r="1230" spans="1:2" x14ac:dyDescent="0.2">
      <c r="A1230" s="622">
        <v>21219005</v>
      </c>
      <c r="B1230" s="591" t="s">
        <v>2449</v>
      </c>
    </row>
    <row r="1231" spans="1:2" x14ac:dyDescent="0.2">
      <c r="A1231" s="622">
        <v>22009001</v>
      </c>
      <c r="B1231" s="591" t="s">
        <v>2450</v>
      </c>
    </row>
    <row r="1232" spans="1:2" x14ac:dyDescent="0.2">
      <c r="A1232" s="622">
        <v>22009005</v>
      </c>
      <c r="B1232" s="591" t="s">
        <v>2451</v>
      </c>
    </row>
    <row r="1233" spans="1:2" x14ac:dyDescent="0.2">
      <c r="A1233" s="622">
        <v>22019001</v>
      </c>
      <c r="B1233" s="591" t="s">
        <v>2450</v>
      </c>
    </row>
    <row r="1234" spans="1:2" x14ac:dyDescent="0.2">
      <c r="A1234" s="622">
        <v>22019005</v>
      </c>
      <c r="B1234" s="591" t="s">
        <v>2451</v>
      </c>
    </row>
    <row r="1235" spans="1:2" x14ac:dyDescent="0.2">
      <c r="A1235" s="622">
        <v>22109001</v>
      </c>
      <c r="B1235" s="591" t="s">
        <v>2452</v>
      </c>
    </row>
    <row r="1236" spans="1:2" x14ac:dyDescent="0.2">
      <c r="A1236" s="622">
        <v>22109005</v>
      </c>
      <c r="B1236" s="591" t="s">
        <v>2453</v>
      </c>
    </row>
    <row r="1237" spans="1:2" x14ac:dyDescent="0.2">
      <c r="A1237" s="622">
        <v>22119001</v>
      </c>
      <c r="B1237" s="591" t="s">
        <v>2452</v>
      </c>
    </row>
    <row r="1238" spans="1:2" x14ac:dyDescent="0.2">
      <c r="A1238" s="622">
        <v>22119005</v>
      </c>
      <c r="B1238" s="591" t="s">
        <v>2453</v>
      </c>
    </row>
    <row r="1239" spans="1:2" x14ac:dyDescent="0.2">
      <c r="A1239" s="622">
        <v>22209001</v>
      </c>
      <c r="B1239" s="591" t="s">
        <v>2454</v>
      </c>
    </row>
    <row r="1240" spans="1:2" x14ac:dyDescent="0.2">
      <c r="A1240" s="622">
        <v>22209005</v>
      </c>
      <c r="B1240" s="591" t="s">
        <v>2455</v>
      </c>
    </row>
    <row r="1241" spans="1:2" x14ac:dyDescent="0.2">
      <c r="A1241" s="622">
        <v>22219001</v>
      </c>
      <c r="B1241" s="591" t="s">
        <v>2454</v>
      </c>
    </row>
    <row r="1242" spans="1:2" x14ac:dyDescent="0.2">
      <c r="A1242" s="622">
        <v>22219005</v>
      </c>
      <c r="B1242" s="591" t="s">
        <v>2455</v>
      </c>
    </row>
    <row r="1243" spans="1:2" x14ac:dyDescent="0.2">
      <c r="A1243" s="623">
        <v>50009001</v>
      </c>
      <c r="B1243" s="624" t="s">
        <v>2456</v>
      </c>
    </row>
    <row r="1244" spans="1:2" x14ac:dyDescent="0.2">
      <c r="A1244" s="623">
        <v>50009005</v>
      </c>
      <c r="B1244" s="624" t="s">
        <v>2457</v>
      </c>
    </row>
    <row r="1245" spans="1:2" x14ac:dyDescent="0.2">
      <c r="A1245" s="622">
        <v>11009101</v>
      </c>
      <c r="B1245" s="591" t="s">
        <v>2458</v>
      </c>
    </row>
    <row r="1246" spans="1:2" x14ac:dyDescent="0.2">
      <c r="A1246" s="622">
        <v>11009105</v>
      </c>
      <c r="B1246" s="591" t="s">
        <v>2459</v>
      </c>
    </row>
    <row r="1247" spans="1:2" x14ac:dyDescent="0.2">
      <c r="A1247" s="622">
        <v>11019101</v>
      </c>
      <c r="B1247" s="591" t="s">
        <v>2458</v>
      </c>
    </row>
    <row r="1248" spans="1:2" x14ac:dyDescent="0.2">
      <c r="A1248" s="622">
        <v>11019105</v>
      </c>
      <c r="B1248" s="591" t="s">
        <v>2459</v>
      </c>
    </row>
    <row r="1249" spans="1:2" x14ac:dyDescent="0.2">
      <c r="A1249" s="622">
        <v>11109101</v>
      </c>
      <c r="B1249" s="591" t="s">
        <v>2460</v>
      </c>
    </row>
    <row r="1250" spans="1:2" x14ac:dyDescent="0.2">
      <c r="A1250" s="622">
        <v>11109105</v>
      </c>
      <c r="B1250" s="591" t="s">
        <v>2461</v>
      </c>
    </row>
    <row r="1251" spans="1:2" x14ac:dyDescent="0.2">
      <c r="A1251" s="622">
        <v>11119101</v>
      </c>
      <c r="B1251" s="591" t="s">
        <v>2460</v>
      </c>
    </row>
    <row r="1252" spans="1:2" x14ac:dyDescent="0.2">
      <c r="A1252" s="622">
        <v>11119105</v>
      </c>
      <c r="B1252" s="591" t="s">
        <v>2461</v>
      </c>
    </row>
    <row r="1253" spans="1:2" x14ac:dyDescent="0.2">
      <c r="A1253" s="622">
        <v>11209101</v>
      </c>
      <c r="B1253" s="591" t="s">
        <v>2462</v>
      </c>
    </row>
    <row r="1254" spans="1:2" x14ac:dyDescent="0.2">
      <c r="A1254" s="622">
        <v>11209105</v>
      </c>
      <c r="B1254" s="591" t="s">
        <v>2463</v>
      </c>
    </row>
    <row r="1255" spans="1:2" x14ac:dyDescent="0.2">
      <c r="A1255" s="622">
        <v>11219101</v>
      </c>
      <c r="B1255" s="591" t="s">
        <v>2462</v>
      </c>
    </row>
    <row r="1256" spans="1:2" x14ac:dyDescent="0.2">
      <c r="A1256" s="622">
        <v>11219105</v>
      </c>
      <c r="B1256" s="591" t="s">
        <v>2463</v>
      </c>
    </row>
    <row r="1257" spans="1:2" x14ac:dyDescent="0.2">
      <c r="A1257" s="622">
        <v>12009101</v>
      </c>
      <c r="B1257" s="591" t="s">
        <v>2464</v>
      </c>
    </row>
    <row r="1258" spans="1:2" x14ac:dyDescent="0.2">
      <c r="A1258" s="622">
        <v>12009105</v>
      </c>
      <c r="B1258" s="591" t="s">
        <v>2465</v>
      </c>
    </row>
    <row r="1259" spans="1:2" x14ac:dyDescent="0.2">
      <c r="A1259" s="622">
        <v>12019101</v>
      </c>
      <c r="B1259" s="591" t="s">
        <v>2464</v>
      </c>
    </row>
    <row r="1260" spans="1:2" x14ac:dyDescent="0.2">
      <c r="A1260" s="622">
        <v>12019105</v>
      </c>
      <c r="B1260" s="591" t="s">
        <v>2465</v>
      </c>
    </row>
    <row r="1261" spans="1:2" x14ac:dyDescent="0.2">
      <c r="A1261" s="622">
        <v>12109101</v>
      </c>
      <c r="B1261" s="591" t="s">
        <v>2466</v>
      </c>
    </row>
    <row r="1262" spans="1:2" x14ac:dyDescent="0.2">
      <c r="A1262" s="622">
        <v>12109105</v>
      </c>
      <c r="B1262" s="591" t="s">
        <v>2467</v>
      </c>
    </row>
    <row r="1263" spans="1:2" x14ac:dyDescent="0.2">
      <c r="A1263" s="622">
        <v>12119101</v>
      </c>
      <c r="B1263" s="591" t="s">
        <v>2466</v>
      </c>
    </row>
    <row r="1264" spans="1:2" x14ac:dyDescent="0.2">
      <c r="A1264" s="622">
        <v>12119105</v>
      </c>
      <c r="B1264" s="591" t="s">
        <v>2467</v>
      </c>
    </row>
    <row r="1265" spans="1:2" x14ac:dyDescent="0.2">
      <c r="A1265" s="622">
        <v>12209101</v>
      </c>
      <c r="B1265" s="591" t="s">
        <v>2468</v>
      </c>
    </row>
    <row r="1266" spans="1:2" x14ac:dyDescent="0.2">
      <c r="A1266" s="622">
        <v>12209105</v>
      </c>
      <c r="B1266" s="591" t="s">
        <v>2469</v>
      </c>
    </row>
    <row r="1267" spans="1:2" x14ac:dyDescent="0.2">
      <c r="A1267" s="622">
        <v>12219101</v>
      </c>
      <c r="B1267" s="591" t="s">
        <v>2468</v>
      </c>
    </row>
    <row r="1268" spans="1:2" x14ac:dyDescent="0.2">
      <c r="A1268" s="622">
        <v>12219105</v>
      </c>
      <c r="B1268" s="591" t="s">
        <v>2469</v>
      </c>
    </row>
    <row r="1269" spans="1:2" x14ac:dyDescent="0.2">
      <c r="A1269" s="622">
        <v>21009101</v>
      </c>
      <c r="B1269" s="591" t="s">
        <v>2470</v>
      </c>
    </row>
    <row r="1270" spans="1:2" x14ac:dyDescent="0.2">
      <c r="A1270" s="622">
        <v>21009105</v>
      </c>
      <c r="B1270" s="591" t="s">
        <v>2471</v>
      </c>
    </row>
    <row r="1271" spans="1:2" x14ac:dyDescent="0.2">
      <c r="A1271" s="622">
        <v>21019101</v>
      </c>
      <c r="B1271" s="591" t="s">
        <v>2470</v>
      </c>
    </row>
    <row r="1272" spans="1:2" x14ac:dyDescent="0.2">
      <c r="A1272" s="622">
        <v>21019105</v>
      </c>
      <c r="B1272" s="591" t="s">
        <v>2471</v>
      </c>
    </row>
    <row r="1273" spans="1:2" x14ac:dyDescent="0.2">
      <c r="A1273" s="622">
        <v>21109101</v>
      </c>
      <c r="B1273" s="591" t="s">
        <v>2472</v>
      </c>
    </row>
    <row r="1274" spans="1:2" x14ac:dyDescent="0.2">
      <c r="A1274" s="622">
        <v>21109105</v>
      </c>
      <c r="B1274" s="591" t="s">
        <v>2473</v>
      </c>
    </row>
    <row r="1275" spans="1:2" x14ac:dyDescent="0.2">
      <c r="A1275" s="622">
        <v>21119101</v>
      </c>
      <c r="B1275" s="591" t="s">
        <v>2472</v>
      </c>
    </row>
    <row r="1276" spans="1:2" x14ac:dyDescent="0.2">
      <c r="A1276" s="622">
        <v>21119105</v>
      </c>
      <c r="B1276" s="591" t="s">
        <v>2473</v>
      </c>
    </row>
    <row r="1277" spans="1:2" x14ac:dyDescent="0.2">
      <c r="A1277" s="622">
        <v>21209101</v>
      </c>
      <c r="B1277" s="591" t="s">
        <v>2474</v>
      </c>
    </row>
    <row r="1278" spans="1:2" x14ac:dyDescent="0.2">
      <c r="A1278" s="622">
        <v>21209105</v>
      </c>
      <c r="B1278" s="591" t="s">
        <v>2475</v>
      </c>
    </row>
    <row r="1279" spans="1:2" x14ac:dyDescent="0.2">
      <c r="A1279" s="622">
        <v>21219101</v>
      </c>
      <c r="B1279" s="591" t="s">
        <v>2474</v>
      </c>
    </row>
    <row r="1280" spans="1:2" x14ac:dyDescent="0.2">
      <c r="A1280" s="622">
        <v>21219105</v>
      </c>
      <c r="B1280" s="591" t="s">
        <v>2475</v>
      </c>
    </row>
    <row r="1281" spans="1:2" x14ac:dyDescent="0.2">
      <c r="A1281" s="622">
        <v>22009101</v>
      </c>
      <c r="B1281" s="591" t="s">
        <v>2476</v>
      </c>
    </row>
    <row r="1282" spans="1:2" x14ac:dyDescent="0.2">
      <c r="A1282" s="622">
        <v>22009105</v>
      </c>
      <c r="B1282" s="591" t="s">
        <v>2477</v>
      </c>
    </row>
    <row r="1283" spans="1:2" x14ac:dyDescent="0.2">
      <c r="A1283" s="622">
        <v>22019101</v>
      </c>
      <c r="B1283" s="591" t="s">
        <v>2476</v>
      </c>
    </row>
    <row r="1284" spans="1:2" x14ac:dyDescent="0.2">
      <c r="A1284" s="622">
        <v>22019105</v>
      </c>
      <c r="B1284" s="591" t="s">
        <v>2477</v>
      </c>
    </row>
    <row r="1285" spans="1:2" x14ac:dyDescent="0.2">
      <c r="A1285" s="622">
        <v>22109101</v>
      </c>
      <c r="B1285" s="591" t="s">
        <v>2478</v>
      </c>
    </row>
    <row r="1286" spans="1:2" x14ac:dyDescent="0.2">
      <c r="A1286" s="622">
        <v>22109105</v>
      </c>
      <c r="B1286" s="591" t="s">
        <v>2479</v>
      </c>
    </row>
    <row r="1287" spans="1:2" x14ac:dyDescent="0.2">
      <c r="A1287" s="622">
        <v>22119101</v>
      </c>
      <c r="B1287" s="591" t="s">
        <v>2478</v>
      </c>
    </row>
    <row r="1288" spans="1:2" x14ac:dyDescent="0.2">
      <c r="A1288" s="622">
        <v>22119105</v>
      </c>
      <c r="B1288" s="591" t="s">
        <v>2479</v>
      </c>
    </row>
    <row r="1289" spans="1:2" x14ac:dyDescent="0.2">
      <c r="A1289" s="622">
        <v>22209101</v>
      </c>
      <c r="B1289" s="591" t="s">
        <v>2480</v>
      </c>
    </row>
    <row r="1290" spans="1:2" x14ac:dyDescent="0.2">
      <c r="A1290" s="622">
        <v>22209105</v>
      </c>
      <c r="B1290" s="591" t="s">
        <v>2481</v>
      </c>
    </row>
    <row r="1291" spans="1:2" x14ac:dyDescent="0.2">
      <c r="A1291" s="622">
        <v>22219101</v>
      </c>
      <c r="B1291" s="591" t="s">
        <v>2480</v>
      </c>
    </row>
    <row r="1292" spans="1:2" x14ac:dyDescent="0.2">
      <c r="A1292" s="622">
        <v>22219105</v>
      </c>
      <c r="B1292" s="591" t="s">
        <v>2481</v>
      </c>
    </row>
    <row r="1293" spans="1:2" x14ac:dyDescent="0.2">
      <c r="A1293" s="623">
        <v>50009101</v>
      </c>
      <c r="B1293" s="624" t="s">
        <v>2482</v>
      </c>
    </row>
    <row r="1294" spans="1:2" x14ac:dyDescent="0.2">
      <c r="A1294" s="623">
        <v>50009105</v>
      </c>
      <c r="B1294" s="624" t="s">
        <v>2483</v>
      </c>
    </row>
    <row r="1295" spans="1:2" x14ac:dyDescent="0.2">
      <c r="A1295" s="622">
        <v>11009201</v>
      </c>
      <c r="B1295" s="591" t="s">
        <v>2484</v>
      </c>
    </row>
    <row r="1296" spans="1:2" x14ac:dyDescent="0.2">
      <c r="A1296" s="622">
        <v>11009205</v>
      </c>
      <c r="B1296" s="591" t="s">
        <v>2485</v>
      </c>
    </row>
    <row r="1297" spans="1:2" x14ac:dyDescent="0.2">
      <c r="A1297" s="622">
        <v>11019201</v>
      </c>
      <c r="B1297" s="591" t="s">
        <v>2484</v>
      </c>
    </row>
    <row r="1298" spans="1:2" x14ac:dyDescent="0.2">
      <c r="A1298" s="622">
        <v>11019205</v>
      </c>
      <c r="B1298" s="591" t="s">
        <v>2485</v>
      </c>
    </row>
    <row r="1299" spans="1:2" x14ac:dyDescent="0.2">
      <c r="A1299" s="622">
        <v>11109201</v>
      </c>
      <c r="B1299" s="591" t="s">
        <v>2486</v>
      </c>
    </row>
    <row r="1300" spans="1:2" x14ac:dyDescent="0.2">
      <c r="A1300" s="622">
        <v>11109205</v>
      </c>
      <c r="B1300" s="591" t="s">
        <v>2487</v>
      </c>
    </row>
    <row r="1301" spans="1:2" x14ac:dyDescent="0.2">
      <c r="A1301" s="622">
        <v>11119201</v>
      </c>
      <c r="B1301" s="591" t="s">
        <v>2486</v>
      </c>
    </row>
    <row r="1302" spans="1:2" x14ac:dyDescent="0.2">
      <c r="A1302" s="622">
        <v>11119205</v>
      </c>
      <c r="B1302" s="591" t="s">
        <v>2487</v>
      </c>
    </row>
    <row r="1303" spans="1:2" x14ac:dyDescent="0.2">
      <c r="A1303" s="622">
        <v>11209201</v>
      </c>
      <c r="B1303" s="591" t="s">
        <v>2488</v>
      </c>
    </row>
    <row r="1304" spans="1:2" x14ac:dyDescent="0.2">
      <c r="A1304" s="622">
        <v>11209205</v>
      </c>
      <c r="B1304" s="591" t="s">
        <v>2489</v>
      </c>
    </row>
    <row r="1305" spans="1:2" x14ac:dyDescent="0.2">
      <c r="A1305" s="622">
        <v>11219201</v>
      </c>
      <c r="B1305" s="591" t="s">
        <v>2488</v>
      </c>
    </row>
    <row r="1306" spans="1:2" x14ac:dyDescent="0.2">
      <c r="A1306" s="622">
        <v>11219205</v>
      </c>
      <c r="B1306" s="591" t="s">
        <v>2489</v>
      </c>
    </row>
    <row r="1307" spans="1:2" x14ac:dyDescent="0.2">
      <c r="A1307" s="622">
        <v>12009201</v>
      </c>
      <c r="B1307" s="591" t="s">
        <v>2490</v>
      </c>
    </row>
    <row r="1308" spans="1:2" x14ac:dyDescent="0.2">
      <c r="A1308" s="622">
        <v>12009205</v>
      </c>
      <c r="B1308" s="591" t="s">
        <v>2491</v>
      </c>
    </row>
    <row r="1309" spans="1:2" x14ac:dyDescent="0.2">
      <c r="A1309" s="622">
        <v>12019201</v>
      </c>
      <c r="B1309" s="591" t="s">
        <v>2490</v>
      </c>
    </row>
    <row r="1310" spans="1:2" x14ac:dyDescent="0.2">
      <c r="A1310" s="622">
        <v>12019205</v>
      </c>
      <c r="B1310" s="591" t="s">
        <v>2491</v>
      </c>
    </row>
    <row r="1311" spans="1:2" x14ac:dyDescent="0.2">
      <c r="A1311" s="622">
        <v>12109201</v>
      </c>
      <c r="B1311" s="591" t="s">
        <v>2492</v>
      </c>
    </row>
    <row r="1312" spans="1:2" x14ac:dyDescent="0.2">
      <c r="A1312" s="622">
        <v>12109205</v>
      </c>
      <c r="B1312" s="591" t="s">
        <v>2493</v>
      </c>
    </row>
    <row r="1313" spans="1:2" x14ac:dyDescent="0.2">
      <c r="A1313" s="622">
        <v>12119201</v>
      </c>
      <c r="B1313" s="591" t="s">
        <v>2492</v>
      </c>
    </row>
    <row r="1314" spans="1:2" x14ac:dyDescent="0.2">
      <c r="A1314" s="622">
        <v>12119205</v>
      </c>
      <c r="B1314" s="591" t="s">
        <v>2493</v>
      </c>
    </row>
    <row r="1315" spans="1:2" x14ac:dyDescent="0.2">
      <c r="A1315" s="622">
        <v>12209201</v>
      </c>
      <c r="B1315" s="591" t="s">
        <v>2494</v>
      </c>
    </row>
    <row r="1316" spans="1:2" x14ac:dyDescent="0.2">
      <c r="A1316" s="622">
        <v>12209205</v>
      </c>
      <c r="B1316" s="591" t="s">
        <v>2495</v>
      </c>
    </row>
    <row r="1317" spans="1:2" x14ac:dyDescent="0.2">
      <c r="A1317" s="622">
        <v>12219201</v>
      </c>
      <c r="B1317" s="591" t="s">
        <v>2494</v>
      </c>
    </row>
    <row r="1318" spans="1:2" x14ac:dyDescent="0.2">
      <c r="A1318" s="622">
        <v>12219205</v>
      </c>
      <c r="B1318" s="591" t="s">
        <v>2495</v>
      </c>
    </row>
    <row r="1319" spans="1:2" x14ac:dyDescent="0.2">
      <c r="A1319" s="622">
        <v>21009201</v>
      </c>
      <c r="B1319" s="591" t="s">
        <v>2496</v>
      </c>
    </row>
    <row r="1320" spans="1:2" x14ac:dyDescent="0.2">
      <c r="A1320" s="622">
        <v>21009205</v>
      </c>
      <c r="B1320" s="591" t="s">
        <v>2497</v>
      </c>
    </row>
    <row r="1321" spans="1:2" x14ac:dyDescent="0.2">
      <c r="A1321" s="622">
        <v>21019201</v>
      </c>
      <c r="B1321" s="591" t="s">
        <v>2496</v>
      </c>
    </row>
    <row r="1322" spans="1:2" x14ac:dyDescent="0.2">
      <c r="A1322" s="622">
        <v>21019205</v>
      </c>
      <c r="B1322" s="591" t="s">
        <v>2497</v>
      </c>
    </row>
    <row r="1323" spans="1:2" x14ac:dyDescent="0.2">
      <c r="A1323" s="622">
        <v>21109201</v>
      </c>
      <c r="B1323" s="591" t="s">
        <v>2498</v>
      </c>
    </row>
    <row r="1324" spans="1:2" x14ac:dyDescent="0.2">
      <c r="A1324" s="622">
        <v>21109205</v>
      </c>
      <c r="B1324" s="591" t="s">
        <v>2499</v>
      </c>
    </row>
    <row r="1325" spans="1:2" x14ac:dyDescent="0.2">
      <c r="A1325" s="622">
        <v>21119201</v>
      </c>
      <c r="B1325" s="591" t="s">
        <v>2498</v>
      </c>
    </row>
    <row r="1326" spans="1:2" x14ac:dyDescent="0.2">
      <c r="A1326" s="622">
        <v>21119205</v>
      </c>
      <c r="B1326" s="591" t="s">
        <v>2499</v>
      </c>
    </row>
    <row r="1327" spans="1:2" x14ac:dyDescent="0.2">
      <c r="A1327" s="622">
        <v>21209201</v>
      </c>
      <c r="B1327" s="591" t="s">
        <v>2500</v>
      </c>
    </row>
    <row r="1328" spans="1:2" x14ac:dyDescent="0.2">
      <c r="A1328" s="622">
        <v>21209205</v>
      </c>
      <c r="B1328" s="591" t="s">
        <v>2501</v>
      </c>
    </row>
    <row r="1329" spans="1:2" x14ac:dyDescent="0.2">
      <c r="A1329" s="622">
        <v>21219201</v>
      </c>
      <c r="B1329" s="591" t="s">
        <v>2500</v>
      </c>
    </row>
    <row r="1330" spans="1:2" x14ac:dyDescent="0.2">
      <c r="A1330" s="622">
        <v>21219205</v>
      </c>
      <c r="B1330" s="591" t="s">
        <v>2501</v>
      </c>
    </row>
    <row r="1331" spans="1:2" x14ac:dyDescent="0.2">
      <c r="A1331" s="622">
        <v>22009201</v>
      </c>
      <c r="B1331" s="591" t="s">
        <v>2502</v>
      </c>
    </row>
    <row r="1332" spans="1:2" x14ac:dyDescent="0.2">
      <c r="A1332" s="622">
        <v>22009205</v>
      </c>
      <c r="B1332" s="591" t="s">
        <v>2503</v>
      </c>
    </row>
    <row r="1333" spans="1:2" x14ac:dyDescent="0.2">
      <c r="A1333" s="622">
        <v>22019201</v>
      </c>
      <c r="B1333" s="591" t="s">
        <v>2502</v>
      </c>
    </row>
    <row r="1334" spans="1:2" x14ac:dyDescent="0.2">
      <c r="A1334" s="622">
        <v>22019205</v>
      </c>
      <c r="B1334" s="591" t="s">
        <v>2503</v>
      </c>
    </row>
    <row r="1335" spans="1:2" x14ac:dyDescent="0.2">
      <c r="A1335" s="622">
        <v>22109201</v>
      </c>
      <c r="B1335" s="591" t="s">
        <v>2504</v>
      </c>
    </row>
    <row r="1336" spans="1:2" x14ac:dyDescent="0.2">
      <c r="A1336" s="622">
        <v>22109205</v>
      </c>
      <c r="B1336" s="591" t="s">
        <v>2505</v>
      </c>
    </row>
    <row r="1337" spans="1:2" x14ac:dyDescent="0.2">
      <c r="A1337" s="622">
        <v>22119201</v>
      </c>
      <c r="B1337" s="591" t="s">
        <v>2504</v>
      </c>
    </row>
    <row r="1338" spans="1:2" x14ac:dyDescent="0.2">
      <c r="A1338" s="622">
        <v>22119205</v>
      </c>
      <c r="B1338" s="591" t="s">
        <v>2505</v>
      </c>
    </row>
    <row r="1339" spans="1:2" x14ac:dyDescent="0.2">
      <c r="A1339" s="622">
        <v>22209201</v>
      </c>
      <c r="B1339" s="591" t="s">
        <v>2506</v>
      </c>
    </row>
    <row r="1340" spans="1:2" x14ac:dyDescent="0.2">
      <c r="A1340" s="622">
        <v>22209205</v>
      </c>
      <c r="B1340" s="591" t="s">
        <v>2507</v>
      </c>
    </row>
    <row r="1341" spans="1:2" x14ac:dyDescent="0.2">
      <c r="A1341" s="622">
        <v>22219201</v>
      </c>
      <c r="B1341" s="591" t="s">
        <v>2506</v>
      </c>
    </row>
    <row r="1342" spans="1:2" x14ac:dyDescent="0.2">
      <c r="A1342" s="622">
        <v>22219205</v>
      </c>
      <c r="B1342" s="591" t="s">
        <v>2507</v>
      </c>
    </row>
    <row r="1343" spans="1:2" x14ac:dyDescent="0.2">
      <c r="A1343" s="623">
        <v>50009201</v>
      </c>
      <c r="B1343" s="624" t="s">
        <v>2508</v>
      </c>
    </row>
    <row r="1344" spans="1:2" x14ac:dyDescent="0.2">
      <c r="A1344" s="623">
        <v>50009205</v>
      </c>
      <c r="B1344" s="624" t="s">
        <v>2509</v>
      </c>
    </row>
    <row r="1345" spans="1:1" x14ac:dyDescent="0.2">
      <c r="A1345" s="622"/>
    </row>
    <row r="1346" spans="1:1" x14ac:dyDescent="0.2">
      <c r="A1346" s="622"/>
    </row>
    <row r="1347" spans="1:1" x14ac:dyDescent="0.2">
      <c r="A1347" s="622"/>
    </row>
    <row r="1348" spans="1:1" x14ac:dyDescent="0.2">
      <c r="A1348" s="622"/>
    </row>
    <row r="1349" spans="1:1" x14ac:dyDescent="0.2">
      <c r="A1349" s="622"/>
    </row>
    <row r="1350" spans="1:1" x14ac:dyDescent="0.2">
      <c r="A1350" s="622"/>
    </row>
    <row r="1351" spans="1:1" x14ac:dyDescent="0.2">
      <c r="A1351" s="622"/>
    </row>
    <row r="1352" spans="1:1" x14ac:dyDescent="0.2">
      <c r="A1352" s="622"/>
    </row>
    <row r="1353" spans="1:1" x14ac:dyDescent="0.2">
      <c r="A1353" s="622"/>
    </row>
    <row r="1354" spans="1:1" x14ac:dyDescent="0.2">
      <c r="A1354" s="622"/>
    </row>
    <row r="1355" spans="1:1" x14ac:dyDescent="0.2">
      <c r="A1355" s="622"/>
    </row>
    <row r="1356" spans="1:1" x14ac:dyDescent="0.2">
      <c r="A1356" s="622"/>
    </row>
    <row r="1357" spans="1:1" x14ac:dyDescent="0.2">
      <c r="A1357" s="622"/>
    </row>
    <row r="1358" spans="1:1" x14ac:dyDescent="0.2">
      <c r="A1358" s="622"/>
    </row>
    <row r="1359" spans="1:1" x14ac:dyDescent="0.2">
      <c r="A1359" s="622"/>
    </row>
    <row r="1360" spans="1:1" x14ac:dyDescent="0.2">
      <c r="A1360" s="622"/>
    </row>
    <row r="1361" spans="1:1" x14ac:dyDescent="0.2">
      <c r="A1361" s="622"/>
    </row>
    <row r="1362" spans="1:1" x14ac:dyDescent="0.2">
      <c r="A1362" s="622"/>
    </row>
    <row r="1363" spans="1:1" x14ac:dyDescent="0.2">
      <c r="A1363" s="622"/>
    </row>
    <row r="1364" spans="1:1" x14ac:dyDescent="0.2">
      <c r="A1364" s="622"/>
    </row>
    <row r="1365" spans="1:1" x14ac:dyDescent="0.2">
      <c r="A1365" s="622"/>
    </row>
    <row r="1366" spans="1:1" x14ac:dyDescent="0.2">
      <c r="A1366" s="622"/>
    </row>
    <row r="1367" spans="1:1" x14ac:dyDescent="0.2">
      <c r="A1367" s="622"/>
    </row>
    <row r="1368" spans="1:1" x14ac:dyDescent="0.2">
      <c r="A1368" s="622"/>
    </row>
    <row r="1369" spans="1:1" x14ac:dyDescent="0.2">
      <c r="A1369" s="622"/>
    </row>
    <row r="1370" spans="1:1" x14ac:dyDescent="0.2">
      <c r="A1370" s="622"/>
    </row>
    <row r="1371" spans="1:1" x14ac:dyDescent="0.2">
      <c r="A1371" s="622"/>
    </row>
    <row r="1372" spans="1:1" x14ac:dyDescent="0.2">
      <c r="A1372" s="622"/>
    </row>
    <row r="1373" spans="1:1" x14ac:dyDescent="0.2">
      <c r="A1373" s="622"/>
    </row>
    <row r="1374" spans="1:1" x14ac:dyDescent="0.2">
      <c r="A1374" s="622"/>
    </row>
    <row r="1375" spans="1:1" x14ac:dyDescent="0.2">
      <c r="A1375" s="622"/>
    </row>
    <row r="1376" spans="1:1" x14ac:dyDescent="0.2">
      <c r="A1376" s="622"/>
    </row>
    <row r="1377" spans="1:1" x14ac:dyDescent="0.2">
      <c r="A1377" s="622"/>
    </row>
    <row r="1378" spans="1:1" x14ac:dyDescent="0.2">
      <c r="A1378" s="622"/>
    </row>
    <row r="1379" spans="1:1" x14ac:dyDescent="0.2">
      <c r="A1379" s="622"/>
    </row>
    <row r="1380" spans="1:1" x14ac:dyDescent="0.2">
      <c r="A1380" s="622"/>
    </row>
    <row r="1381" spans="1:1" x14ac:dyDescent="0.2">
      <c r="A1381" s="622"/>
    </row>
    <row r="1382" spans="1:1" x14ac:dyDescent="0.2">
      <c r="A1382" s="622"/>
    </row>
    <row r="1383" spans="1:1" x14ac:dyDescent="0.2">
      <c r="A1383" s="622"/>
    </row>
    <row r="1384" spans="1:1" x14ac:dyDescent="0.2">
      <c r="A1384" s="622"/>
    </row>
    <row r="1385" spans="1:1" x14ac:dyDescent="0.2">
      <c r="A1385" s="622"/>
    </row>
    <row r="1386" spans="1:1" x14ac:dyDescent="0.2">
      <c r="A1386" s="622"/>
    </row>
    <row r="1387" spans="1:1" x14ac:dyDescent="0.2">
      <c r="A1387" s="622"/>
    </row>
    <row r="1388" spans="1:1" x14ac:dyDescent="0.2">
      <c r="A1388" s="622"/>
    </row>
    <row r="1389" spans="1:1" x14ac:dyDescent="0.2">
      <c r="A1389" s="622"/>
    </row>
    <row r="1390" spans="1:1" x14ac:dyDescent="0.2">
      <c r="A1390" s="622"/>
    </row>
    <row r="1391" spans="1:1" x14ac:dyDescent="0.2">
      <c r="A1391" s="622"/>
    </row>
  </sheetData>
  <sheetProtection password="DCF3" sheet="1" objects="1" scenarios="1"/>
  <phoneticPr fontId="8" type="noConversion"/>
  <pageMargins left="0.7" right="0.7" top="0.78740157499999996" bottom="0.78740157499999996" header="0.3" footer="0.3"/>
  <pageSetup paperSize="9" orientation="portrait" r:id="rId1"/>
  <headerFooter alignWithMargins="0"/>
  <customProperties>
    <customPr name="SSCSheetTrackingNo"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sheetPr>
  <dimension ref="A1:F44"/>
  <sheetViews>
    <sheetView zoomScale="150" workbookViewId="0"/>
  </sheetViews>
  <sheetFormatPr baseColWidth="10" defaultRowHeight="13.2" x14ac:dyDescent="0.25"/>
  <cols>
    <col min="5" max="5" width="14" customWidth="1"/>
  </cols>
  <sheetData>
    <row r="1" spans="1:6" ht="17.399999999999999" x14ac:dyDescent="0.3">
      <c r="A1" s="38" t="s">
        <v>1303</v>
      </c>
    </row>
    <row r="3" spans="1:6" x14ac:dyDescent="0.25">
      <c r="A3" t="s">
        <v>971</v>
      </c>
      <c r="B3" t="s">
        <v>990</v>
      </c>
    </row>
    <row r="4" spans="1:6" x14ac:dyDescent="0.25">
      <c r="A4" t="s">
        <v>1322</v>
      </c>
      <c r="B4" t="s">
        <v>1323</v>
      </c>
    </row>
    <row r="5" spans="1:6" x14ac:dyDescent="0.25">
      <c r="A5" t="s">
        <v>1324</v>
      </c>
      <c r="B5" t="s">
        <v>1096</v>
      </c>
    </row>
    <row r="7" spans="1:6" x14ac:dyDescent="0.25">
      <c r="A7" t="s">
        <v>1325</v>
      </c>
      <c r="B7" t="s">
        <v>984</v>
      </c>
    </row>
    <row r="8" spans="1:6" x14ac:dyDescent="0.25">
      <c r="A8" t="s">
        <v>1326</v>
      </c>
      <c r="B8" t="s">
        <v>1327</v>
      </c>
    </row>
    <row r="9" spans="1:6" x14ac:dyDescent="0.25">
      <c r="A9" t="s">
        <v>1328</v>
      </c>
      <c r="B9" t="s">
        <v>1329</v>
      </c>
    </row>
    <row r="10" spans="1:6" x14ac:dyDescent="0.25">
      <c r="A10" t="s">
        <v>1330</v>
      </c>
      <c r="B10" t="s">
        <v>1059</v>
      </c>
    </row>
    <row r="12" spans="1:6" x14ac:dyDescent="0.25">
      <c r="A12" t="s">
        <v>1331</v>
      </c>
      <c r="B12" t="s">
        <v>1332</v>
      </c>
      <c r="F12" t="s">
        <v>1333</v>
      </c>
    </row>
    <row r="13" spans="1:6" x14ac:dyDescent="0.25">
      <c r="A13" t="s">
        <v>1334</v>
      </c>
      <c r="B13" t="s">
        <v>1335</v>
      </c>
      <c r="F13" t="s">
        <v>1339</v>
      </c>
    </row>
    <row r="14" spans="1:6" s="212" customFormat="1" ht="13.8" thickBot="1" x14ac:dyDescent="0.3">
      <c r="A14" s="212" t="s">
        <v>1340</v>
      </c>
      <c r="B14" s="212" t="s">
        <v>1341</v>
      </c>
      <c r="F14" s="212" t="s">
        <v>1342</v>
      </c>
    </row>
    <row r="16" spans="1:6" x14ac:dyDescent="0.25">
      <c r="A16" t="s">
        <v>1343</v>
      </c>
      <c r="B16" t="s">
        <v>1344</v>
      </c>
    </row>
    <row r="18" spans="1:5" s="213" customFormat="1" ht="7.8" x14ac:dyDescent="0.15">
      <c r="A18" s="213" t="s">
        <v>989</v>
      </c>
      <c r="B18" s="213" t="s">
        <v>1346</v>
      </c>
    </row>
    <row r="19" spans="1:5" x14ac:dyDescent="0.25">
      <c r="A19" t="s">
        <v>983</v>
      </c>
      <c r="B19" t="s">
        <v>1348</v>
      </c>
    </row>
    <row r="20" spans="1:5" ht="13.8" x14ac:dyDescent="0.3">
      <c r="B20" s="242" t="s">
        <v>1385</v>
      </c>
    </row>
    <row r="21" spans="1:5" x14ac:dyDescent="0.25">
      <c r="A21" t="s">
        <v>1345</v>
      </c>
      <c r="B21" t="s">
        <v>1350</v>
      </c>
    </row>
    <row r="22" spans="1:5" ht="13.8" x14ac:dyDescent="0.3">
      <c r="B22" s="242" t="s">
        <v>1386</v>
      </c>
    </row>
    <row r="23" spans="1:5" x14ac:dyDescent="0.25">
      <c r="A23" t="s">
        <v>1347</v>
      </c>
      <c r="B23" t="s">
        <v>1060</v>
      </c>
      <c r="E23" s="214"/>
    </row>
    <row r="24" spans="1:5" s="212" customFormat="1" ht="13.8" thickBot="1" x14ac:dyDescent="0.3">
      <c r="A24" s="212" t="s">
        <v>1349</v>
      </c>
      <c r="B24" s="212" t="s">
        <v>1123</v>
      </c>
    </row>
    <row r="26" spans="1:5" x14ac:dyDescent="0.25">
      <c r="A26" t="s">
        <v>1351</v>
      </c>
      <c r="B26" t="s">
        <v>1353</v>
      </c>
    </row>
    <row r="27" spans="1:5" ht="13.8" x14ac:dyDescent="0.3">
      <c r="B27" s="242" t="s">
        <v>1387</v>
      </c>
    </row>
    <row r="28" spans="1:5" s="216" customFormat="1" x14ac:dyDescent="0.25">
      <c r="A28" s="216" t="s">
        <v>1352</v>
      </c>
      <c r="B28" s="217" t="s">
        <v>1355</v>
      </c>
    </row>
    <row r="29" spans="1:5" s="212" customFormat="1" ht="14.4" thickBot="1" x14ac:dyDescent="0.35">
      <c r="B29" s="243" t="s">
        <v>1388</v>
      </c>
    </row>
    <row r="31" spans="1:5" s="213" customFormat="1" ht="7.8" x14ac:dyDescent="0.15">
      <c r="A31" s="213" t="s">
        <v>1383</v>
      </c>
      <c r="B31" s="213" t="s">
        <v>984</v>
      </c>
    </row>
    <row r="32" spans="1:5" s="216" customFormat="1" x14ac:dyDescent="0.25">
      <c r="A32" s="216" t="s">
        <v>976</v>
      </c>
      <c r="B32" s="216" t="s">
        <v>1357</v>
      </c>
      <c r="E32" s="218"/>
    </row>
    <row r="33" spans="1:5" s="219" customFormat="1" ht="14.4" thickBot="1" x14ac:dyDescent="0.35">
      <c r="B33" s="243" t="s">
        <v>1389</v>
      </c>
      <c r="E33" s="220"/>
    </row>
    <row r="35" spans="1:5" s="213" customFormat="1" ht="7.8" x14ac:dyDescent="0.15">
      <c r="A35" s="213" t="s">
        <v>1384</v>
      </c>
      <c r="B35" s="213" t="s">
        <v>1361</v>
      </c>
    </row>
    <row r="36" spans="1:5" x14ac:dyDescent="0.25">
      <c r="A36" t="s">
        <v>1354</v>
      </c>
      <c r="B36" t="s">
        <v>1362</v>
      </c>
    </row>
    <row r="37" spans="1:5" ht="13.8" x14ac:dyDescent="0.3">
      <c r="B37" s="242" t="s">
        <v>1301</v>
      </c>
    </row>
    <row r="38" spans="1:5" x14ac:dyDescent="0.25">
      <c r="A38" t="s">
        <v>1356</v>
      </c>
      <c r="B38" t="s">
        <v>1363</v>
      </c>
    </row>
    <row r="39" spans="1:5" ht="13.8" x14ac:dyDescent="0.3">
      <c r="B39" s="242" t="s">
        <v>1294</v>
      </c>
    </row>
    <row r="41" spans="1:5" x14ac:dyDescent="0.25">
      <c r="A41" t="s">
        <v>1358</v>
      </c>
      <c r="B41" t="s">
        <v>1364</v>
      </c>
      <c r="E41" s="214"/>
    </row>
    <row r="42" spans="1:5" x14ac:dyDescent="0.25">
      <c r="A42" t="s">
        <v>1359</v>
      </c>
      <c r="B42" t="s">
        <v>1365</v>
      </c>
    </row>
    <row r="44" spans="1:5" x14ac:dyDescent="0.25">
      <c r="A44" t="s">
        <v>1360</v>
      </c>
      <c r="B44" t="s">
        <v>1367</v>
      </c>
    </row>
  </sheetData>
  <sheetProtection password="DCF3" sheet="1" objects="1" scenarios="1"/>
  <phoneticPr fontId="2" type="noConversion"/>
  <pageMargins left="0.39370078740157483" right="0.39370078740157483" top="0.98425196850393704" bottom="0.98425196850393704" header="0.51181102362204722" footer="0.51181102362204722"/>
  <pageSetup paperSize="9" orientation="portrait" r:id="rId1"/>
  <headerFooter alignWithMargins="0"/>
  <customProperties>
    <customPr name="SSCSheetTrackingNo"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sheetPr>
  <dimension ref="A1:M11"/>
  <sheetViews>
    <sheetView showGridLines="0" topLeftCell="A15" zoomScale="150" workbookViewId="0">
      <selection activeCell="A5" sqref="A5"/>
    </sheetView>
  </sheetViews>
  <sheetFormatPr baseColWidth="10" defaultRowHeight="13.2" x14ac:dyDescent="0.25"/>
  <cols>
    <col min="1" max="1" width="5.5546875" customWidth="1"/>
    <col min="2" max="2" width="22.88671875" customWidth="1"/>
    <col min="3" max="3" width="13.109375" customWidth="1"/>
    <col min="4" max="11" width="11" customWidth="1"/>
    <col min="12" max="15" width="8.5546875" customWidth="1"/>
  </cols>
  <sheetData>
    <row r="1" spans="1:13" ht="17.399999999999999" x14ac:dyDescent="0.3">
      <c r="A1" s="21" t="s">
        <v>1086</v>
      </c>
    </row>
    <row r="3" spans="1:13" x14ac:dyDescent="0.25">
      <c r="C3" s="23">
        <v>1</v>
      </c>
      <c r="D3" s="23">
        <v>2</v>
      </c>
      <c r="E3" s="23">
        <v>3</v>
      </c>
      <c r="F3" s="23">
        <v>4</v>
      </c>
      <c r="G3" s="25">
        <v>5</v>
      </c>
      <c r="H3" s="25">
        <v>6</v>
      </c>
      <c r="I3" s="25">
        <v>7</v>
      </c>
      <c r="J3" s="25">
        <v>8</v>
      </c>
      <c r="K3" s="25">
        <v>9</v>
      </c>
      <c r="L3" s="23" t="s">
        <v>1033</v>
      </c>
      <c r="M3" s="23" t="s">
        <v>1052</v>
      </c>
    </row>
    <row r="4" spans="1:13" s="22" customFormat="1" ht="16.2" x14ac:dyDescent="0.25">
      <c r="A4" s="473" t="s">
        <v>983</v>
      </c>
      <c r="B4" s="473" t="s">
        <v>984</v>
      </c>
      <c r="C4" s="24" t="s">
        <v>1039</v>
      </c>
      <c r="D4" s="24" t="s">
        <v>1040</v>
      </c>
      <c r="E4" s="24" t="s">
        <v>1041</v>
      </c>
      <c r="F4" s="24" t="s">
        <v>1042</v>
      </c>
      <c r="G4" s="26"/>
      <c r="H4" s="26"/>
      <c r="I4" s="26"/>
      <c r="J4" s="26"/>
      <c r="K4" s="26"/>
      <c r="L4" s="24">
        <v>4</v>
      </c>
      <c r="M4" s="24">
        <v>24</v>
      </c>
    </row>
    <row r="5" spans="1:13" s="22" customFormat="1" ht="16.2" x14ac:dyDescent="0.25">
      <c r="A5" s="474" t="s">
        <v>971</v>
      </c>
      <c r="B5" s="474" t="s">
        <v>970</v>
      </c>
      <c r="C5" s="24" t="s">
        <v>1043</v>
      </c>
      <c r="D5" s="24" t="s">
        <v>1044</v>
      </c>
      <c r="E5" s="24" t="s">
        <v>1045</v>
      </c>
      <c r="F5" s="24" t="s">
        <v>1046</v>
      </c>
      <c r="G5" s="24" t="s">
        <v>1047</v>
      </c>
      <c r="H5" s="24" t="s">
        <v>2510</v>
      </c>
      <c r="I5" s="24" t="s">
        <v>2511</v>
      </c>
      <c r="J5" s="24" t="s">
        <v>2512</v>
      </c>
      <c r="K5" s="24" t="s">
        <v>2513</v>
      </c>
      <c r="L5" s="24">
        <v>9</v>
      </c>
      <c r="M5" s="24">
        <v>9</v>
      </c>
    </row>
    <row r="6" spans="1:13" s="22" customFormat="1" ht="16.2" x14ac:dyDescent="0.25">
      <c r="A6" s="475" t="s">
        <v>972</v>
      </c>
      <c r="B6" s="475" t="s">
        <v>973</v>
      </c>
      <c r="C6" s="24" t="s">
        <v>1048</v>
      </c>
      <c r="D6" s="24" t="s">
        <v>1049</v>
      </c>
      <c r="E6" s="24" t="s">
        <v>1050</v>
      </c>
      <c r="F6" s="24"/>
      <c r="G6" s="26"/>
      <c r="H6" s="26"/>
      <c r="I6" s="26"/>
      <c r="J6" s="26"/>
      <c r="K6" s="26"/>
      <c r="L6" s="24">
        <v>3</v>
      </c>
      <c r="M6" s="24">
        <v>3</v>
      </c>
    </row>
    <row r="7" spans="1:13" s="22" customFormat="1" ht="16.2" x14ac:dyDescent="0.25">
      <c r="A7" s="476" t="s">
        <v>976</v>
      </c>
      <c r="B7" s="476" t="s">
        <v>985</v>
      </c>
      <c r="C7" s="24" t="s">
        <v>1051</v>
      </c>
      <c r="D7" s="24" t="s">
        <v>1311</v>
      </c>
      <c r="E7" s="24"/>
      <c r="F7" s="24"/>
      <c r="G7" s="26"/>
      <c r="H7" s="26"/>
      <c r="I7" s="26"/>
      <c r="J7" s="26"/>
      <c r="K7" s="26"/>
      <c r="L7" s="24">
        <v>2</v>
      </c>
      <c r="M7" s="24">
        <v>15</v>
      </c>
    </row>
    <row r="8" spans="1:13" s="22" customFormat="1" ht="13.8" x14ac:dyDescent="0.25">
      <c r="A8" s="476"/>
      <c r="B8" s="476" t="s">
        <v>1031</v>
      </c>
      <c r="C8" s="24" t="s">
        <v>1030</v>
      </c>
      <c r="D8" s="24" t="s">
        <v>1029</v>
      </c>
      <c r="E8" s="24"/>
      <c r="F8" s="24"/>
      <c r="G8" s="26"/>
      <c r="H8" s="26"/>
      <c r="I8" s="26"/>
      <c r="J8" s="26"/>
      <c r="K8" s="26"/>
      <c r="L8" s="24">
        <v>2</v>
      </c>
      <c r="M8" s="24">
        <v>2</v>
      </c>
    </row>
    <row r="9" spans="1:13" s="22" customFormat="1" ht="16.2" x14ac:dyDescent="0.25">
      <c r="A9" s="477" t="s">
        <v>978</v>
      </c>
      <c r="B9" s="477" t="s">
        <v>979</v>
      </c>
      <c r="C9" s="24" t="s">
        <v>1053</v>
      </c>
      <c r="D9" s="24" t="s">
        <v>1054</v>
      </c>
      <c r="E9" s="24" t="s">
        <v>1032</v>
      </c>
      <c r="F9" s="24"/>
      <c r="G9" s="26"/>
      <c r="H9" s="26"/>
      <c r="I9" s="26"/>
      <c r="J9" s="26"/>
      <c r="K9" s="26"/>
      <c r="L9" s="24">
        <v>3</v>
      </c>
      <c r="M9" s="24">
        <v>6</v>
      </c>
    </row>
    <row r="10" spans="1:13" s="22" customFormat="1" ht="16.2" x14ac:dyDescent="0.25">
      <c r="A10" s="474" t="s">
        <v>1021</v>
      </c>
      <c r="B10" s="474" t="s">
        <v>982</v>
      </c>
      <c r="C10" s="24" t="s">
        <v>1312</v>
      </c>
      <c r="D10" s="24" t="s">
        <v>1055</v>
      </c>
      <c r="E10" s="24"/>
      <c r="F10" s="24"/>
      <c r="G10" s="26"/>
      <c r="H10" s="26"/>
      <c r="I10" s="26"/>
      <c r="J10" s="26"/>
      <c r="K10" s="26"/>
      <c r="L10" s="24">
        <v>2</v>
      </c>
      <c r="M10" s="24">
        <v>2</v>
      </c>
    </row>
    <row r="11" spans="1:13" s="27" customFormat="1" ht="13.8" x14ac:dyDescent="0.25">
      <c r="A11" s="28" t="s">
        <v>1022</v>
      </c>
      <c r="B11" s="29"/>
      <c r="C11" s="29"/>
      <c r="D11" s="29"/>
      <c r="E11" s="29"/>
      <c r="F11" s="29"/>
      <c r="G11" s="29"/>
      <c r="H11" s="29"/>
      <c r="I11" s="29"/>
      <c r="J11" s="29"/>
      <c r="K11" s="29"/>
      <c r="L11" s="31">
        <f>L4*L5*L6*L7*L8*L9*L10</f>
        <v>2592</v>
      </c>
      <c r="M11" s="30">
        <f>M4*M5*M6*M7*M8*M9*M10</f>
        <v>233280</v>
      </c>
    </row>
  </sheetData>
  <sheetProtection password="DCF3" sheet="1" objects="1" scenarios="1" selectLockedCells="1" selectUnlockedCells="1"/>
  <phoneticPr fontId="2" type="noConversion"/>
  <pageMargins left="0.78740157480314965" right="0.78740157480314965" top="0.98425196850393704" bottom="0.98425196850393704" header="0.51181102362204722" footer="0.51181102362204722"/>
  <pageSetup paperSize="9" orientation="landscape" r:id="rId1"/>
  <headerFooter alignWithMargins="0"/>
  <customProperties>
    <customPr name="SSCSheetTrackingNo"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3"/>
  <sheetViews>
    <sheetView topLeftCell="A148" workbookViewId="0">
      <selection activeCell="A182" sqref="A182"/>
    </sheetView>
  </sheetViews>
  <sheetFormatPr baseColWidth="10" defaultColWidth="11.44140625" defaultRowHeight="13.8" x14ac:dyDescent="0.25"/>
  <cols>
    <col min="1" max="1" width="57" style="1154" customWidth="1"/>
    <col min="2" max="3" width="48.5546875" style="1154" customWidth="1"/>
    <col min="4" max="16384" width="11.44140625" style="1154"/>
  </cols>
  <sheetData>
    <row r="1" spans="1:4" ht="21" x14ac:dyDescent="0.4">
      <c r="A1" s="1153" t="s">
        <v>2525</v>
      </c>
    </row>
    <row r="3" spans="1:4" x14ac:dyDescent="0.25">
      <c r="A3" s="1155" t="s">
        <v>2526</v>
      </c>
      <c r="B3" s="1155" t="s">
        <v>2527</v>
      </c>
      <c r="C3" s="1155" t="s">
        <v>2528</v>
      </c>
    </row>
    <row r="4" spans="1:4" x14ac:dyDescent="0.25">
      <c r="A4" s="1156" t="s">
        <v>2529</v>
      </c>
      <c r="B4" s="1156" t="s">
        <v>2530</v>
      </c>
      <c r="C4" s="1156" t="s">
        <v>2531</v>
      </c>
      <c r="D4" s="1154" t="str">
        <f>IF(Input!$K$81=1,Übersetzungen!A4,IF(Input!$K$81=2,Übersetzungen!B4,Übersetzungen!C4))</f>
        <v xml:space="preserve">Offerte, gültig per   </v>
      </c>
    </row>
    <row r="5" spans="1:4" x14ac:dyDescent="0.25">
      <c r="A5" s="1156" t="s">
        <v>2532</v>
      </c>
      <c r="B5" s="1154" t="s">
        <v>2533</v>
      </c>
      <c r="C5" s="1156" t="s">
        <v>2534</v>
      </c>
      <c r="D5" s="1154" t="str">
        <f>IF(Input!$K$81=1,Übersetzungen!A5,IF(Input!$K$81=2,Übersetzungen!B5,Übersetzungen!C5))</f>
        <v>Name Arbeitgeber/In</v>
      </c>
    </row>
    <row r="6" spans="1:4" x14ac:dyDescent="0.25">
      <c r="A6" s="1154" t="s">
        <v>2535</v>
      </c>
      <c r="B6" s="1154" t="s">
        <v>2536</v>
      </c>
      <c r="C6" s="1154" t="s">
        <v>2537</v>
      </c>
      <c r="D6" s="1154" t="str">
        <f>IF(Input!$K$81=1,Übersetzungen!A6,IF(Input!$K$81=2,Übersetzungen!B6,Übersetzungen!C6))</f>
        <v>Für Sie zuständig</v>
      </c>
    </row>
    <row r="7" spans="1:4" x14ac:dyDescent="0.25">
      <c r="A7" s="1154" t="s">
        <v>2538</v>
      </c>
      <c r="B7" s="1154" t="s">
        <v>2539</v>
      </c>
      <c r="C7" s="1156" t="s">
        <v>2540</v>
      </c>
      <c r="D7" s="1154" t="str">
        <f>IF(Input!$K$81=1,Übersetzungen!A7,IF(Input!$K$81=2,Übersetzungen!B7,Übersetzungen!C7))</f>
        <v>Tel. direkt</v>
      </c>
    </row>
    <row r="8" spans="1:4" x14ac:dyDescent="0.25">
      <c r="A8" s="1156" t="s">
        <v>2541</v>
      </c>
      <c r="B8" s="1156" t="s">
        <v>2542</v>
      </c>
      <c r="C8" s="1156" t="s">
        <v>2543</v>
      </c>
      <c r="D8" s="1154" t="str">
        <f>IF(Input!$K$81=1,Übersetzungen!A8,IF(Input!$K$81=2,Übersetzungen!B8,Übersetzungen!C8))</f>
        <v>Versicherungsplan wählen:</v>
      </c>
    </row>
    <row r="9" spans="1:4" x14ac:dyDescent="0.25">
      <c r="A9" s="1156" t="s">
        <v>2544</v>
      </c>
      <c r="B9" s="1156" t="s">
        <v>2545</v>
      </c>
      <c r="C9" s="1156" t="s">
        <v>2546</v>
      </c>
      <c r="D9" s="1154" t="str">
        <f>IF(Input!$K$81=1,Übersetzungen!A9,IF(Input!$K$81=2,Übersetzungen!B9,Übersetzungen!C9))</f>
        <v>Lohndefinition</v>
      </c>
    </row>
    <row r="10" spans="1:4" x14ac:dyDescent="0.25">
      <c r="A10" s="1156" t="s">
        <v>1104</v>
      </c>
      <c r="B10" s="1156" t="s">
        <v>2547</v>
      </c>
      <c r="C10" s="1156" t="s">
        <v>2548</v>
      </c>
      <c r="D10" s="1154" t="str">
        <f>IF(Input!$K$81=1,Übersetzungen!A10,IF(Input!$K$81=2,Übersetzungen!B10,Übersetzungen!C10))</f>
        <v>Koordinationsabzug</v>
      </c>
    </row>
    <row r="11" spans="1:4" x14ac:dyDescent="0.25">
      <c r="A11" s="1156" t="s">
        <v>1097</v>
      </c>
      <c r="B11" s="1156" t="s">
        <v>2549</v>
      </c>
      <c r="C11" s="1156" t="s">
        <v>2550</v>
      </c>
      <c r="D11" s="1154" t="str">
        <f>IF(Input!$K$81=1,Übersetzungen!A11,IF(Input!$K$81=2,Übersetzungen!B11,Übersetzungen!C11))</f>
        <v>Eintrittsschwelle</v>
      </c>
    </row>
    <row r="12" spans="1:4" x14ac:dyDescent="0.25">
      <c r="A12" s="1156" t="s">
        <v>1133</v>
      </c>
      <c r="B12" s="1156" t="s">
        <v>1133</v>
      </c>
      <c r="C12" s="1156" t="s">
        <v>2551</v>
      </c>
      <c r="D12" s="1154" t="str">
        <f>IF(Input!$K$81=1,Übersetzungen!A12,IF(Input!$K$81=2,Übersetzungen!B12,Übersetzungen!C12))</f>
        <v>Plafond</v>
      </c>
    </row>
    <row r="13" spans="1:4" x14ac:dyDescent="0.25">
      <c r="A13" s="1156" t="s">
        <v>2552</v>
      </c>
      <c r="B13" s="1156" t="s">
        <v>2553</v>
      </c>
      <c r="C13" s="1156" t="s">
        <v>2554</v>
      </c>
      <c r="D13" s="1154" t="str">
        <f>IF(Input!$K$81=1,Übersetzungen!A13,IF(Input!$K$81=2,Übersetzungen!B13,Übersetzungen!C13))</f>
        <v>L1 vers. Lohn Sparen</v>
      </c>
    </row>
    <row r="14" spans="1:4" x14ac:dyDescent="0.25">
      <c r="A14" s="1156" t="s">
        <v>2555</v>
      </c>
      <c r="B14" s="1156" t="s">
        <v>2556</v>
      </c>
      <c r="C14" s="1156" t="s">
        <v>2557</v>
      </c>
      <c r="D14" s="1154" t="str">
        <f>IF(Input!$K$81=1,Übersetzungen!A14,IF(Input!$K$81=2,Übersetzungen!B14,Übersetzungen!C14))</f>
        <v>L2 vers. Lohn Risiko</v>
      </c>
    </row>
    <row r="15" spans="1:4" x14ac:dyDescent="0.25">
      <c r="A15" s="1154" t="s">
        <v>2558</v>
      </c>
      <c r="B15" s="1156" t="s">
        <v>2559</v>
      </c>
      <c r="C15" s="1156" t="s">
        <v>2560</v>
      </c>
      <c r="D15" s="1154" t="str">
        <f>IF(Input!$K$81=1,Übersetzungen!A15,IF(Input!$K$81=2,Übersetzungen!B15,Übersetzungen!C15))</f>
        <v>A/ZS Altersvorsorge Sparen</v>
      </c>
    </row>
    <row r="16" spans="1:4" x14ac:dyDescent="0.25">
      <c r="A16" s="1156" t="s">
        <v>2561</v>
      </c>
      <c r="B16" s="1156" t="s">
        <v>2562</v>
      </c>
      <c r="C16" s="1156" t="s">
        <v>2563</v>
      </c>
      <c r="D16" s="1154" t="str">
        <f>IF(Input!$K$81=1,Übersetzungen!A16,IF(Input!$K$81=2,Übersetzungen!B16,Übersetzungen!C16))</f>
        <v>Risikovorsorge</v>
      </c>
    </row>
    <row r="17" spans="1:4" x14ac:dyDescent="0.25">
      <c r="A17" s="1156" t="s">
        <v>2564</v>
      </c>
      <c r="B17" s="1156" t="s">
        <v>2565</v>
      </c>
      <c r="C17" s="1156" t="s">
        <v>2566</v>
      </c>
      <c r="D17" s="1154" t="str">
        <f>IF(Input!$K$81=1,Übersetzungen!A17,IF(Input!$K$81=2,Übersetzungen!B17,Übersetzungen!C17))</f>
        <v>R Invalidenrente</v>
      </c>
    </row>
    <row r="18" spans="1:4" x14ac:dyDescent="0.25">
      <c r="A18" s="1154" t="s">
        <v>2567</v>
      </c>
      <c r="B18" s="1156" t="s">
        <v>2568</v>
      </c>
      <c r="C18" s="1156" t="s">
        <v>2569</v>
      </c>
      <c r="D18" s="1154" t="str">
        <f>IF(Input!$K$81=1,Übersetzungen!A18,IF(Input!$K$81=2,Übersetzungen!B18,Übersetzungen!C18))</f>
        <v>Wartefrist Invalidenrente</v>
      </c>
    </row>
    <row r="19" spans="1:4" x14ac:dyDescent="0.25">
      <c r="A19" s="1156" t="s">
        <v>2570</v>
      </c>
      <c r="B19" s="1156" t="s">
        <v>2571</v>
      </c>
      <c r="C19" s="1156" t="s">
        <v>2572</v>
      </c>
      <c r="D19" s="1154" t="str">
        <f>IF(Input!$K$81=1,Übersetzungen!A19,IF(Input!$K$81=2,Übersetzungen!B19,Übersetzungen!C19))</f>
        <v>Anteil Beiträge Arbeitnehmer</v>
      </c>
    </row>
    <row r="20" spans="1:4" x14ac:dyDescent="0.25">
      <c r="A20" s="1156" t="s">
        <v>970</v>
      </c>
      <c r="B20" s="1156" t="s">
        <v>2573</v>
      </c>
      <c r="C20" s="1156" t="s">
        <v>2574</v>
      </c>
      <c r="D20" s="1154" t="str">
        <f>IF(Input!$K$81=1,Übersetzungen!A20,IF(Input!$K$81=2,Übersetzungen!B20,Übersetzungen!C20))</f>
        <v>Altersvorsorge</v>
      </c>
    </row>
    <row r="21" spans="1:4" x14ac:dyDescent="0.25">
      <c r="A21" s="1156" t="s">
        <v>2575</v>
      </c>
      <c r="B21" s="1156" t="s">
        <v>2576</v>
      </c>
      <c r="C21" s="1156" t="s">
        <v>2577</v>
      </c>
      <c r="D21" s="1154" t="str">
        <f>IF(Input!$K$81=1,Übersetzungen!A21,IF(Input!$K$81=2,Übersetzungen!B21,Übersetzungen!C21))</f>
        <v>Altersgutschriften</v>
      </c>
    </row>
    <row r="22" spans="1:4" x14ac:dyDescent="0.25">
      <c r="A22" s="1156" t="s">
        <v>2578</v>
      </c>
      <c r="B22" s="1156" t="s">
        <v>2579</v>
      </c>
      <c r="C22" s="1156" t="s">
        <v>2580</v>
      </c>
      <c r="D22" s="1154" t="str">
        <f>IF(Input!$K$81=1,Übersetzungen!A22,IF(Input!$K$81=2,Übersetzungen!B22,Übersetzungen!C22))</f>
        <v>ZS Zusatzsparen</v>
      </c>
    </row>
    <row r="23" spans="1:4" x14ac:dyDescent="0.25">
      <c r="A23" s="1154" t="s">
        <v>2581</v>
      </c>
      <c r="B23" s="1156" t="s">
        <v>2582</v>
      </c>
      <c r="C23" s="1156" t="s">
        <v>2583</v>
      </c>
      <c r="D23" s="1154" t="str">
        <f>IF(Input!$K$81=1,Übersetzungen!A23,IF(Input!$K$81=2,Übersetzungen!B23,Übersetzungen!C23))</f>
        <v>ab</v>
      </c>
    </row>
    <row r="24" spans="1:4" x14ac:dyDescent="0.25">
      <c r="A24" s="1154" t="s">
        <v>979</v>
      </c>
      <c r="B24" s="1156" t="s">
        <v>2584</v>
      </c>
      <c r="C24" s="1156" t="s">
        <v>2585</v>
      </c>
      <c r="D24" s="1154" t="str">
        <f>IF(Input!$K$81=1,Übersetzungen!A24,IF(Input!$K$81=2,Übersetzungen!B24,Übersetzungen!C24))</f>
        <v>Todesfallkapital</v>
      </c>
    </row>
    <row r="25" spans="1:4" x14ac:dyDescent="0.25">
      <c r="A25" s="1156" t="s">
        <v>2586</v>
      </c>
      <c r="B25" s="1156" t="s">
        <v>2587</v>
      </c>
      <c r="C25" s="1156" t="s">
        <v>2588</v>
      </c>
      <c r="D25" s="1154" t="str">
        <f>IF(Input!$K$81=1,Übersetzungen!A25,IF(Input!$K$81=2,Übersetzungen!B25,Übersetzungen!C25))</f>
        <v>Info Durchschnittsalter:</v>
      </c>
    </row>
    <row r="26" spans="1:4" x14ac:dyDescent="0.25">
      <c r="A26" s="1154" t="s">
        <v>2589</v>
      </c>
      <c r="B26" s="1156" t="s">
        <v>2590</v>
      </c>
      <c r="C26" s="1156" t="s">
        <v>2591</v>
      </c>
      <c r="D26" s="1154" t="str">
        <f>IF(Input!$K$81=1,Übersetzungen!A26,IF(Input!$K$81=2,Übersetzungen!B26,Übersetzungen!C26))</f>
        <v xml:space="preserve">Name,  Vorname </v>
      </c>
    </row>
    <row r="27" spans="1:4" x14ac:dyDescent="0.25">
      <c r="A27" s="1154" t="s">
        <v>2592</v>
      </c>
      <c r="B27" s="1156" t="s">
        <v>2593</v>
      </c>
      <c r="C27" s="1156" t="s">
        <v>2594</v>
      </c>
      <c r="D27" s="1154" t="str">
        <f>IF(Input!$K$81=1,Übersetzungen!A27,IF(Input!$K$81=2,Übersetzungen!B27,Übersetzungen!C27))</f>
        <v>Geburts-
datum</v>
      </c>
    </row>
    <row r="28" spans="1:4" x14ac:dyDescent="0.25">
      <c r="A28" s="1154" t="s">
        <v>2595</v>
      </c>
      <c r="B28" s="1156" t="s">
        <v>2596</v>
      </c>
      <c r="C28" s="1157" t="s">
        <v>2597</v>
      </c>
      <c r="D28" s="1154" t="str">
        <f>IF(Input!$K$81=1,Übersetzungen!A28,IF(Input!$K$81=2,Übersetzungen!B28,Übersetzungen!C28))</f>
        <v>Sex
(f/m)</v>
      </c>
    </row>
    <row r="29" spans="1:4" x14ac:dyDescent="0.25">
      <c r="A29" s="1154" t="s">
        <v>2598</v>
      </c>
      <c r="B29" s="1156" t="s">
        <v>2599</v>
      </c>
      <c r="C29" s="1156" t="s">
        <v>2600</v>
      </c>
      <c r="D29" s="1154" t="str">
        <f>IF(Input!$K$81=1,Übersetzungen!A29,IF(Input!$K$81=2,Übersetzungen!B29,Übersetzungen!C29))</f>
        <v>Angabe BS-Grad</v>
      </c>
    </row>
    <row r="30" spans="1:4" x14ac:dyDescent="0.25">
      <c r="A30" s="1154" t="s">
        <v>2601</v>
      </c>
      <c r="B30" s="1156" t="s">
        <v>2602</v>
      </c>
      <c r="C30" s="1156" t="s">
        <v>2603</v>
      </c>
      <c r="D30" s="1154" t="str">
        <f>IF(Input!$K$81=1,Übersetzungen!A30,IF(Input!$K$81=2,Übersetzungen!B30,Übersetzungen!C30))</f>
        <v>keine Eingabe</v>
      </c>
    </row>
    <row r="31" spans="1:4" x14ac:dyDescent="0.25">
      <c r="A31" s="1154" t="s">
        <v>2604</v>
      </c>
      <c r="B31" s="1156" t="s">
        <v>2605</v>
      </c>
      <c r="C31" s="1156" t="s">
        <v>2606</v>
      </c>
      <c r="D31" s="1154" t="str">
        <f>IF(Input!$K$81=1,Übersetzungen!A31,IF(Input!$K$81=2,Übersetzungen!B31,Übersetzungen!C31))</f>
        <v xml:space="preserve">AHV-
Lohn   </v>
      </c>
    </row>
    <row r="32" spans="1:4" x14ac:dyDescent="0.25">
      <c r="A32" s="1154" t="s">
        <v>2607</v>
      </c>
      <c r="B32" s="1156" t="s">
        <v>2608</v>
      </c>
      <c r="C32" s="1156" t="s">
        <v>2609</v>
      </c>
      <c r="D32" s="1154" t="str">
        <f>IF(Input!$K$81=1,Übersetzungen!A32,IF(Input!$K$81=2,Übersetzungen!B32,Übersetzungen!C32))</f>
        <v>Vorh. 
FZL</v>
      </c>
    </row>
    <row r="33" spans="1:4" x14ac:dyDescent="0.25">
      <c r="A33" s="1154" t="s">
        <v>2610</v>
      </c>
      <c r="B33" s="1156" t="s">
        <v>2611</v>
      </c>
      <c r="C33" s="1156" t="s">
        <v>2612</v>
      </c>
      <c r="D33" s="1154" t="str">
        <f>IF(Input!$K$81=1,Übersetzungen!A33,IF(Input!$K$81=2,Übersetzungen!B33,Übersetzungen!C33))</f>
        <v>FZL BVG</v>
      </c>
    </row>
    <row r="34" spans="1:4" x14ac:dyDescent="0.25">
      <c r="A34" s="1154" t="s">
        <v>2613</v>
      </c>
      <c r="B34" s="1156" t="s">
        <v>2614</v>
      </c>
      <c r="C34" s="1156" t="s">
        <v>2615</v>
      </c>
      <c r="D34" s="1154" t="str">
        <f>IF(Input!$K$81=1,Übersetzungen!A34,IF(Input!$K$81=2,Übersetzungen!B34,Übersetzungen!C34))</f>
        <v xml:space="preserve">BVG-
Alter </v>
      </c>
    </row>
    <row r="35" spans="1:4" x14ac:dyDescent="0.25">
      <c r="A35" s="1154" t="s">
        <v>2616</v>
      </c>
      <c r="B35" s="1156" t="s">
        <v>2617</v>
      </c>
      <c r="C35" s="1156" t="s">
        <v>2618</v>
      </c>
      <c r="D35" s="1154" t="str">
        <f>IF(Input!$K$81=1,Übersetzungen!A35,IF(Input!$K$81=2,Übersetzungen!B35,Übersetzungen!C35))</f>
        <v xml:space="preserve">Vers. 
Lohn </v>
      </c>
    </row>
    <row r="36" spans="1:4" x14ac:dyDescent="0.25">
      <c r="A36" s="1156" t="s">
        <v>2619</v>
      </c>
      <c r="B36" s="1156" t="s">
        <v>2620</v>
      </c>
      <c r="C36" s="1156" t="s">
        <v>2621</v>
      </c>
      <c r="D36" s="1154" t="str">
        <f>IF(Input!$K$81=1,Übersetzungen!A36,IF(Input!$K$81=2,Übersetzungen!B36,Übersetzungen!C36))</f>
        <v>Alters- rente</v>
      </c>
    </row>
    <row r="37" spans="1:4" x14ac:dyDescent="0.25">
      <c r="A37" s="1156" t="s">
        <v>2622</v>
      </c>
      <c r="B37" s="1156" t="s">
        <v>2623</v>
      </c>
      <c r="C37" s="1156" t="s">
        <v>2624</v>
      </c>
      <c r="D37" s="1154" t="str">
        <f>IF(Input!$K$81=1,Übersetzungen!A37,IF(Input!$K$81=2,Übersetzungen!B37,Übersetzungen!C37))</f>
        <v>Alters- kapital</v>
      </c>
    </row>
    <row r="38" spans="1:4" x14ac:dyDescent="0.25">
      <c r="A38" s="1156" t="s">
        <v>2625</v>
      </c>
      <c r="B38" s="1156" t="s">
        <v>2626</v>
      </c>
      <c r="C38" s="1156" t="s">
        <v>2627</v>
      </c>
      <c r="D38" s="1154" t="str">
        <f>IF(Input!$K$81=1,Übersetzungen!A38,IF(Input!$K$81=2,Übersetzungen!B38,Übersetzungen!C38))</f>
        <v>Risikoleistungen nach Plan</v>
      </c>
    </row>
    <row r="39" spans="1:4" x14ac:dyDescent="0.25">
      <c r="A39" s="1154" t="s">
        <v>2628</v>
      </c>
      <c r="B39" s="1156" t="s">
        <v>2628</v>
      </c>
      <c r="C39" s="1156" t="s">
        <v>2629</v>
      </c>
      <c r="D39" s="1154" t="str">
        <f>IF(Input!$K$81=1,Übersetzungen!A39,IF(Input!$K$81=2,Übersetzungen!B39,Übersetzungen!C39))</f>
        <v>TOTAL</v>
      </c>
    </row>
    <row r="40" spans="1:4" x14ac:dyDescent="0.25">
      <c r="A40" s="1154" t="s">
        <v>2052</v>
      </c>
      <c r="B40" s="1156" t="s">
        <v>2630</v>
      </c>
      <c r="C40" s="1156" t="s">
        <v>2577</v>
      </c>
      <c r="D40" s="1154" t="str">
        <f>IF(Input!$K$81=1,Übersetzungen!A40,IF(Input!$K$81=2,Übersetzungen!B40,Übersetzungen!C40))</f>
        <v>Sparen</v>
      </c>
    </row>
    <row r="41" spans="1:4" x14ac:dyDescent="0.25">
      <c r="A41" s="1154" t="s">
        <v>1249</v>
      </c>
      <c r="B41" s="1156" t="s">
        <v>2631</v>
      </c>
      <c r="C41" s="1156" t="s">
        <v>2632</v>
      </c>
      <c r="D41" s="1154" t="str">
        <f>IF(Input!$K$81=1,Übersetzungen!A41,IF(Input!$K$81=2,Übersetzungen!B41,Übersetzungen!C41))</f>
        <v>Risiko</v>
      </c>
    </row>
    <row r="42" spans="1:4" x14ac:dyDescent="0.25">
      <c r="A42" s="1154" t="s">
        <v>3647</v>
      </c>
      <c r="B42" s="1156" t="s">
        <v>3649</v>
      </c>
      <c r="C42" s="1156" t="s">
        <v>3651</v>
      </c>
      <c r="D42" s="1154" t="str">
        <f>IF(Input!$K$81=1,Übersetzungen!A42,IF(Input!$K$81=2,Übersetzungen!B42,Übersetzungen!C42))</f>
        <v>A8  ist nicht möglich</v>
      </c>
    </row>
    <row r="43" spans="1:4" x14ac:dyDescent="0.25">
      <c r="A43" s="1154" t="s">
        <v>3648</v>
      </c>
      <c r="B43" s="1156" t="s">
        <v>3650</v>
      </c>
      <c r="C43" s="1156" t="s">
        <v>3652</v>
      </c>
      <c r="D43" s="1154" t="str">
        <f>IF(Input!$K$81=1,Übersetzungen!A43,IF(Input!$K$81=2,Übersetzungen!B43,Übersetzungen!C43))</f>
        <v>A9  ist nicht möglich</v>
      </c>
    </row>
    <row r="44" spans="1:4" x14ac:dyDescent="0.25">
      <c r="A44" s="1154" t="s">
        <v>2633</v>
      </c>
      <c r="B44" s="1156" t="s">
        <v>2634</v>
      </c>
      <c r="C44" s="1156" t="s">
        <v>2634</v>
      </c>
      <c r="D44" s="1154" t="str">
        <f>IF(Input!$K$81=1,Übersetzungen!A44,IF(Input!$K$81=2,Übersetzungen!B44,Übersetzungen!C44))</f>
        <v>L1 BVG</v>
      </c>
    </row>
    <row r="45" spans="1:4" x14ac:dyDescent="0.25">
      <c r="A45" s="1154" t="s">
        <v>2635</v>
      </c>
      <c r="B45" s="1156" t="s">
        <v>2636</v>
      </c>
      <c r="C45" s="1156" t="s">
        <v>2637</v>
      </c>
      <c r="D45" s="1154" t="str">
        <f>IF(Input!$K$81=1,Übersetzungen!A45,IF(Input!$K$81=2,Übersetzungen!B45,Übersetzungen!C45))</f>
        <v>L2 BVG nach BS-Grad</v>
      </c>
    </row>
    <row r="46" spans="1:4" x14ac:dyDescent="0.25">
      <c r="A46" s="1154" t="s">
        <v>2638</v>
      </c>
      <c r="B46" s="1156" t="s">
        <v>2639</v>
      </c>
      <c r="C46" s="1156" t="s">
        <v>2640</v>
      </c>
      <c r="D46" s="1154" t="str">
        <f>IF(Input!$K$81=1,Übersetzungen!A46,IF(Input!$K$81=2,Übersetzungen!B46,Übersetzungen!C46))</f>
        <v>L3 80% AHV-Lohn</v>
      </c>
    </row>
    <row r="47" spans="1:4" x14ac:dyDescent="0.25">
      <c r="A47" s="1154" t="s">
        <v>2641</v>
      </c>
      <c r="B47" s="1156" t="s">
        <v>2642</v>
      </c>
      <c r="C47" s="1156" t="s">
        <v>2643</v>
      </c>
      <c r="D47" s="1154" t="str">
        <f>IF(Input!$K$81=1,Übersetzungen!A47,IF(Input!$K$81=2,Übersetzungen!B47,Übersetzungen!C47))</f>
        <v>L4 AHV-Lohn</v>
      </c>
    </row>
    <row r="48" spans="1:4" x14ac:dyDescent="0.25">
      <c r="A48" s="1156" t="s">
        <v>2644</v>
      </c>
      <c r="B48" s="1156" t="s">
        <v>2645</v>
      </c>
      <c r="C48" s="1156" t="s">
        <v>2646</v>
      </c>
      <c r="D48" s="1154" t="str">
        <f>IF(Input!$K$81=1,Übersetzungen!A48,IF(Input!$K$81=2,Übersetzungen!B48,Übersetzungen!C48))</f>
        <v>L5 1/2 Koordination gem BVG</v>
      </c>
    </row>
    <row r="49" spans="1:4" x14ac:dyDescent="0.25">
      <c r="A49" s="1154" t="s">
        <v>2647</v>
      </c>
      <c r="B49" s="1156" t="s">
        <v>2648</v>
      </c>
      <c r="C49" s="1156" t="s">
        <v>2649</v>
      </c>
      <c r="D49" s="1154" t="str">
        <f>IF(Input!$K$81=1,Übersetzungen!A49,IF(Input!$K$81=2,Übersetzungen!B49,Übersetzungen!C49))</f>
        <v>mit BVG-Eintrittsschwelle</v>
      </c>
    </row>
    <row r="50" spans="1:4" x14ac:dyDescent="0.25">
      <c r="A50" s="1154" t="s">
        <v>2650</v>
      </c>
      <c r="B50" s="1156" t="s">
        <v>2651</v>
      </c>
      <c r="C50" s="1156" t="s">
        <v>2652</v>
      </c>
      <c r="D50" s="1154" t="str">
        <f>IF(Input!$K$81=1,Übersetzungen!A50,IF(Input!$K$81=2,Übersetzungen!B50,Übersetzungen!C50))</f>
        <v>ohne Eintrittsschwelle</v>
      </c>
    </row>
    <row r="51" spans="1:4" x14ac:dyDescent="0.25">
      <c r="A51" s="1154" t="s">
        <v>2653</v>
      </c>
      <c r="B51" s="1156" t="s">
        <v>2654</v>
      </c>
      <c r="C51" s="1156" t="s">
        <v>2655</v>
      </c>
      <c r="D51" s="1154" t="str">
        <f>IF(Input!$K$81=1,Übersetzungen!A51,IF(Input!$K$81=2,Übersetzungen!B51,Übersetzungen!C51))</f>
        <v>L2 - mit fixer BVG-Eintrittsschwelle</v>
      </c>
    </row>
    <row r="52" spans="1:4" x14ac:dyDescent="0.25">
      <c r="A52" s="1156" t="s">
        <v>2656</v>
      </c>
      <c r="B52" s="1156" t="s">
        <v>2636</v>
      </c>
      <c r="C52" s="1156" t="s">
        <v>2637</v>
      </c>
      <c r="D52" s="1154" t="str">
        <f>IF(Input!$K$81=1,Übersetzungen!A52,IF(Input!$K$81=2,Übersetzungen!B52,Übersetzungen!C52))</f>
        <v>L2 - BVG nach BS-Grad</v>
      </c>
    </row>
    <row r="53" spans="1:4" x14ac:dyDescent="0.25">
      <c r="A53" s="1156" t="s">
        <v>2657</v>
      </c>
      <c r="B53" s="1156" t="s">
        <v>2658</v>
      </c>
      <c r="C53" s="1156" t="s">
        <v>2659</v>
      </c>
      <c r="D53" s="1154" t="str">
        <f>IF(Input!$K$81=1,Übersetzungen!A53,IF(Input!$K$81=2,Übersetzungen!B53,Übersetzungen!C53))</f>
        <v>L5 - 1/2 Koordinationsabzug BVG</v>
      </c>
    </row>
    <row r="54" spans="1:4" x14ac:dyDescent="0.25">
      <c r="A54" s="1154" t="s">
        <v>2660</v>
      </c>
      <c r="B54" s="1156" t="s">
        <v>2661</v>
      </c>
      <c r="C54" s="1156" t="s">
        <v>2649</v>
      </c>
      <c r="D54" s="1154" t="str">
        <f>IF(Input!$K$81=1,Übersetzungen!A54,IF(Input!$K$81=2,Übersetzungen!B54,Übersetzungen!C54))</f>
        <v>Plafond gemäss BVG</v>
      </c>
    </row>
    <row r="55" spans="1:4" x14ac:dyDescent="0.25">
      <c r="A55" s="1154" t="s">
        <v>2662</v>
      </c>
      <c r="B55" s="1156" t="s">
        <v>2663</v>
      </c>
      <c r="C55" s="1156" t="s">
        <v>2664</v>
      </c>
      <c r="D55" s="1154" t="str">
        <f>IF(Input!$K$81=1,Übersetzungen!A55,IF(Input!$K$81=2,Übersetzungen!B55,Übersetzungen!C55))</f>
        <v>Plafond gemäss UVG</v>
      </c>
    </row>
    <row r="56" spans="1:4" x14ac:dyDescent="0.25">
      <c r="A56" s="1154" t="s">
        <v>2665</v>
      </c>
      <c r="B56" s="1156" t="s">
        <v>2666</v>
      </c>
      <c r="C56" s="1156" t="s">
        <v>2667</v>
      </c>
      <c r="D56" s="1154" t="str">
        <f>IF(Input!$K$81=1,Übersetzungen!A56,IF(Input!$K$81=2,Übersetzungen!B56,Übersetzungen!C56))</f>
        <v xml:space="preserve">kein Plafond </v>
      </c>
    </row>
    <row r="57" spans="1:4" x14ac:dyDescent="0.25">
      <c r="A57" s="1156" t="s">
        <v>2668</v>
      </c>
      <c r="B57" s="1156" t="s">
        <v>3924</v>
      </c>
      <c r="C57" s="1156" t="s">
        <v>3925</v>
      </c>
      <c r="D57" s="1154" t="str">
        <f>IF(Input!$K$81=1,Übersetzungen!A57,IF(Input!$K$81=2,Übersetzungen!B57,Übersetzungen!C57))</f>
        <v>Plafond gemäss SIFO</v>
      </c>
    </row>
    <row r="58" spans="1:4" x14ac:dyDescent="0.25">
      <c r="A58" s="1154" t="s">
        <v>2669</v>
      </c>
      <c r="B58" s="1156" t="s">
        <v>2670</v>
      </c>
      <c r="C58" s="1156" t="s">
        <v>2671</v>
      </c>
      <c r="D58" s="1154" t="str">
        <f>IF(Input!$K$81=1,Übersetzungen!A58,IF(Input!$K$81=2,Übersetzungen!B58,Übersetzungen!C58))</f>
        <v>Plafond = 300% AHVmax</v>
      </c>
    </row>
    <row r="59" spans="1:4" x14ac:dyDescent="0.25">
      <c r="A59" s="1154" t="s">
        <v>2672</v>
      </c>
      <c r="B59" s="1156" t="s">
        <v>2673</v>
      </c>
      <c r="C59" s="1156" t="s">
        <v>2674</v>
      </c>
      <c r="D59" s="1154" t="str">
        <f>IF(Input!$K$81=1,Übersetzungen!A59,IF(Input!$K$81=2,Übersetzungen!B59,Übersetzungen!C59))</f>
        <v>Alter 25</v>
      </c>
    </row>
    <row r="60" spans="1:4" x14ac:dyDescent="0.25">
      <c r="A60" s="1154" t="s">
        <v>2675</v>
      </c>
      <c r="B60" s="1156" t="s">
        <v>2676</v>
      </c>
      <c r="C60" s="1156" t="s">
        <v>2677</v>
      </c>
      <c r="D60" s="1154" t="str">
        <f>IF(Input!$K$81=1,Übersetzungen!A60,IF(Input!$K$81=2,Übersetzungen!B60,Übersetzungen!C60))</f>
        <v>Alter 20</v>
      </c>
    </row>
    <row r="61" spans="1:4" x14ac:dyDescent="0.25">
      <c r="A61" s="1154" t="s">
        <v>2678</v>
      </c>
      <c r="B61" s="1156" t="s">
        <v>2679</v>
      </c>
      <c r="C61" s="1156" t="s">
        <v>2680</v>
      </c>
      <c r="D61" s="1154" t="str">
        <f>IF(Input!$K$81=1,Übersetzungen!A61,IF(Input!$K$81=2,Übersetzungen!B61,Übersetzungen!C61))</f>
        <v>Alter 18</v>
      </c>
    </row>
    <row r="62" spans="1:4" x14ac:dyDescent="0.25">
      <c r="A62" s="1156" t="s">
        <v>682</v>
      </c>
      <c r="B62" s="1156" t="s">
        <v>2681</v>
      </c>
      <c r="C62" s="1156" t="s">
        <v>2682</v>
      </c>
      <c r="D62" s="1154" t="str">
        <f>IF(Input!$K$81=1,Übersetzungen!A62,IF(Input!$K$81=2,Übersetzungen!B62,Übersetzungen!C62))</f>
        <v>ohne Zusatzsparen</v>
      </c>
    </row>
    <row r="63" spans="1:4" x14ac:dyDescent="0.25">
      <c r="A63" s="1154" t="s">
        <v>1029</v>
      </c>
      <c r="B63" s="1156" t="s">
        <v>2683</v>
      </c>
      <c r="C63" s="1156" t="s">
        <v>2684</v>
      </c>
      <c r="D63" s="1154" t="str">
        <f>IF(Input!$K$81=1,Übersetzungen!A63,IF(Input!$K$81=2,Übersetzungen!B63,Übersetzungen!C63))</f>
        <v>720 Tage</v>
      </c>
    </row>
    <row r="64" spans="1:4" x14ac:dyDescent="0.25">
      <c r="A64" s="1154" t="s">
        <v>1030</v>
      </c>
      <c r="B64" s="1156" t="s">
        <v>2685</v>
      </c>
      <c r="C64" s="1156" t="s">
        <v>2686</v>
      </c>
      <c r="D64" s="1154" t="str">
        <f>IF(Input!$K$81=1,Übersetzungen!A64,IF(Input!$K$81=2,Übersetzungen!B64,Übersetzungen!C64))</f>
        <v>360 Tage</v>
      </c>
    </row>
    <row r="65" spans="1:6" x14ac:dyDescent="0.25">
      <c r="A65" s="1154" t="s">
        <v>1130</v>
      </c>
      <c r="B65" s="1156" t="s">
        <v>2687</v>
      </c>
      <c r="C65" s="1156" t="s">
        <v>2688</v>
      </c>
      <c r="D65" s="1154" t="str">
        <f>IF(Input!$K$81=1,Übersetzungen!A65,IF(Input!$K$81=2,Übersetzungen!B65,Übersetzungen!C65))</f>
        <v>ohne</v>
      </c>
    </row>
    <row r="66" spans="1:6" x14ac:dyDescent="0.25">
      <c r="A66" s="1156" t="s">
        <v>2689</v>
      </c>
      <c r="B66" s="1156" t="s">
        <v>2690</v>
      </c>
      <c r="C66" s="1156" t="s">
        <v>2691</v>
      </c>
      <c r="D66" s="1154" t="str">
        <f>IF(Input!$K$81=1,Übersetzungen!A66,IF(Input!$K$81=2,Übersetzungen!B66,Übersetzungen!C66))</f>
        <v>50% vers. Lohn</v>
      </c>
    </row>
    <row r="67" spans="1:6" x14ac:dyDescent="0.25">
      <c r="A67" s="1156" t="s">
        <v>2692</v>
      </c>
      <c r="B67" s="1156" t="s">
        <v>2693</v>
      </c>
      <c r="C67" s="1156" t="s">
        <v>2694</v>
      </c>
      <c r="D67" s="1154" t="str">
        <f>IF(Input!$K$81=1,Übersetzungen!A67,IF(Input!$K$81=2,Übersetzungen!B67,Übersetzungen!C67))</f>
        <v>100% vers. Lohn</v>
      </c>
    </row>
    <row r="68" spans="1:6" x14ac:dyDescent="0.25">
      <c r="A68" s="1156" t="s">
        <v>2695</v>
      </c>
      <c r="B68" s="1156" t="s">
        <v>2696</v>
      </c>
      <c r="C68" s="1156" t="s">
        <v>2697</v>
      </c>
      <c r="D68" s="1154" t="str">
        <f>IF(Input!$K$81=1,Übersetzungen!A68,IF(Input!$K$81=2,Übersetzungen!B68,Übersetzungen!C68))</f>
        <v>150% vers. Lohn</v>
      </c>
    </row>
    <row r="69" spans="1:6" x14ac:dyDescent="0.25">
      <c r="A69" s="1156" t="s">
        <v>2698</v>
      </c>
      <c r="B69" s="1156" t="s">
        <v>2699</v>
      </c>
      <c r="C69" s="1156" t="s">
        <v>2700</v>
      </c>
      <c r="D69" s="1154" t="str">
        <f>IF(Input!$K$81=1,Übersetzungen!A69,IF(Input!$K$81=2,Übersetzungen!B69,Übersetzungen!C69))</f>
        <v>200% vers. Lohn</v>
      </c>
    </row>
    <row r="70" spans="1:6" x14ac:dyDescent="0.25">
      <c r="A70" s="1154" t="s">
        <v>2701</v>
      </c>
      <c r="B70" s="1156" t="s">
        <v>2702</v>
      </c>
      <c r="C70" s="1156" t="s">
        <v>2703</v>
      </c>
      <c r="D70" s="1154" t="str">
        <f>IF(Input!$K$81=1,Übersetzungen!A70,IF(Input!$K$81=2,Übersetzungen!B70,Übersetzungen!C70))</f>
        <v>AGH (Rückgewähr)</v>
      </c>
    </row>
    <row r="71" spans="1:6" x14ac:dyDescent="0.25">
      <c r="A71" s="1156" t="s">
        <v>2704</v>
      </c>
      <c r="B71" s="1156" t="s">
        <v>2705</v>
      </c>
      <c r="C71" s="1156" t="s">
        <v>2706</v>
      </c>
      <c r="D71" s="1154" t="str">
        <f>IF(Input!$K$81=1,Übersetzungen!A71,IF(Input!$K$81=2,Übersetzungen!B71,Übersetzungen!C71))</f>
        <v>zusätzlich zur Ehegattenrente/Lebenspartnerrente</v>
      </c>
    </row>
    <row r="72" spans="1:6" x14ac:dyDescent="0.25">
      <c r="A72" s="1156" t="s">
        <v>2707</v>
      </c>
      <c r="B72" s="1156" t="s">
        <v>2708</v>
      </c>
      <c r="C72" s="1156" t="s">
        <v>2709</v>
      </c>
      <c r="D72" s="1154" t="str">
        <f>IF(Input!$K$81=1,Übersetzungen!A72,IF(Input!$K$81=2,Übersetzungen!B72,Übersetzungen!C72))</f>
        <v>Sparguthaben ausweisen?</v>
      </c>
    </row>
    <row r="73" spans="1:6" ht="69" x14ac:dyDescent="0.25">
      <c r="A73" s="1157" t="s">
        <v>2710</v>
      </c>
      <c r="B73" s="1157" t="s">
        <v>2711</v>
      </c>
      <c r="C73" s="1157" t="s">
        <v>2712</v>
      </c>
      <c r="D73" s="1154" t="str">
        <f>IF(Input!$K$81=1,Übersetzungen!A73,IF(Input!$K$81=2,Übersetzungen!B73,Übersetzungen!C73))</f>
        <v>Aufgrund des Urteils A-4467/2011 des Bundesverwaltungsgerichts darf das Sparguthaben gegenüber Dritten, namentlich gegenüber dem Arbeitgeber, ohne Ermächtigung des Versicherten nicht ausgewiesen werden.</v>
      </c>
    </row>
    <row r="74" spans="1:6" x14ac:dyDescent="0.25">
      <c r="A74" s="1156" t="s">
        <v>1489</v>
      </c>
      <c r="B74" s="1156" t="s">
        <v>2713</v>
      </c>
      <c r="C74" s="1156" t="s">
        <v>2714</v>
      </c>
      <c r="D74" s="1154" t="str">
        <f>IF(Input!$K$81=1,Übersetzungen!A74,IF(Input!$K$81=2,Übersetzungen!B74,Übersetzungen!C74))</f>
        <v>ja</v>
      </c>
      <c r="E74" s="1156" t="s">
        <v>2715</v>
      </c>
      <c r="F74" s="1158">
        <v>1</v>
      </c>
    </row>
    <row r="75" spans="1:6" x14ac:dyDescent="0.25">
      <c r="A75" s="1156" t="s">
        <v>1006</v>
      </c>
      <c r="B75" s="1156" t="s">
        <v>2716</v>
      </c>
      <c r="C75" s="1156" t="s">
        <v>2717</v>
      </c>
      <c r="D75" s="1154" t="str">
        <f>IF(Input!$K$81=1,Übersetzungen!A75,IF(Input!$K$81=2,Übersetzungen!B75,Übersetzungen!C75))</f>
        <v>nein</v>
      </c>
    </row>
    <row r="76" spans="1:6" x14ac:dyDescent="0.25">
      <c r="A76" s="1156" t="s">
        <v>2718</v>
      </c>
      <c r="B76" s="1156" t="s">
        <v>2719</v>
      </c>
      <c r="C76" s="1156" t="s">
        <v>2720</v>
      </c>
      <c r="D76" s="1154" t="str">
        <f>IF(Input!$K$81=1,Übersetzungen!A76,IF(Input!$K$81=2,Übersetzungen!B76,Übersetzungen!C76))</f>
        <v>Achtung: Invalidenrente &lt;30% nur bei Löhnen über 100'000 zulässig!</v>
      </c>
    </row>
    <row r="81" spans="1:4" ht="21" x14ac:dyDescent="0.4">
      <c r="A81" s="1153" t="s">
        <v>2721</v>
      </c>
      <c r="D81" s="1154" t="str">
        <f>IF(Input!$K$81=1,Übersetzungen!A81,IF(Input!$K$81=2,Übersetzungen!B81,Übersetzungen!C81))</f>
        <v>Übersetzungen Output</v>
      </c>
    </row>
    <row r="83" spans="1:4" x14ac:dyDescent="0.25">
      <c r="A83" s="1155" t="s">
        <v>2526</v>
      </c>
      <c r="B83" s="1155" t="s">
        <v>2527</v>
      </c>
      <c r="C83" s="1155" t="s">
        <v>2528</v>
      </c>
      <c r="D83" s="1154" t="str">
        <f>IF(Input!$K$81=1,Übersetzungen!A83,IF(Input!$K$81=2,Übersetzungen!B83,Übersetzungen!C83))</f>
        <v>DE</v>
      </c>
    </row>
    <row r="84" spans="1:4" x14ac:dyDescent="0.25">
      <c r="A84" s="1156" t="s">
        <v>1369</v>
      </c>
      <c r="B84" s="1156" t="s">
        <v>2722</v>
      </c>
      <c r="C84" s="1154" t="s">
        <v>2723</v>
      </c>
      <c r="D84" s="1154" t="str">
        <f>IF(Input!$K$81=1,Übersetzungen!A84,IF(Input!$K$81=2,Übersetzungen!B84,Übersetzungen!C84))</f>
        <v>Offerte per</v>
      </c>
    </row>
    <row r="85" spans="1:4" x14ac:dyDescent="0.25">
      <c r="A85" s="1154" t="s">
        <v>2724</v>
      </c>
      <c r="B85" s="1154" t="s">
        <v>2725</v>
      </c>
      <c r="C85" s="1154" t="s">
        <v>2726</v>
      </c>
      <c r="D85" s="1154" t="str">
        <f>IF(Input!$K$81=1,Übersetzungen!A85,IF(Input!$K$81=2,Übersetzungen!B85,Übersetzungen!C85))</f>
        <v>Erstellt am</v>
      </c>
    </row>
    <row r="86" spans="1:4" x14ac:dyDescent="0.25">
      <c r="A86" s="1154" t="s">
        <v>2727</v>
      </c>
      <c r="B86" s="1154" t="s">
        <v>2728</v>
      </c>
      <c r="C86" s="1154" t="s">
        <v>2729</v>
      </c>
      <c r="D86" s="1154" t="str">
        <f>IF(Input!$K$81=1,Übersetzungen!A86,IF(Input!$K$81=2,Übersetzungen!B86,Übersetzungen!C86))</f>
        <v>Für Sie zuständig / Telefon</v>
      </c>
    </row>
    <row r="87" spans="1:4" x14ac:dyDescent="0.25">
      <c r="A87" s="1154" t="s">
        <v>2730</v>
      </c>
      <c r="B87" s="1154" t="s">
        <v>2731</v>
      </c>
      <c r="C87" s="1154" t="s">
        <v>2732</v>
      </c>
      <c r="D87" s="1154" t="str">
        <f>IF(Input!$K$81=1,Übersetzungen!A87,IF(Input!$K$81=2,Übersetzungen!B87,Übersetzungen!C87))</f>
        <v>Version/Anzahl Seiten</v>
      </c>
    </row>
    <row r="88" spans="1:4" x14ac:dyDescent="0.25">
      <c r="A88" s="1154" t="s">
        <v>2733</v>
      </c>
      <c r="B88" s="1154" t="s">
        <v>2734</v>
      </c>
      <c r="C88" s="1154" t="s">
        <v>2735</v>
      </c>
      <c r="D88" s="1154" t="str">
        <f>IF(Input!$K$81=1,Übersetzungen!A88,IF(Input!$K$81=2,Übersetzungen!B88,Übersetzungen!C88))</f>
        <v>Versicherungsplan (Module) - Detaillierter Planbeschrieb beiliegend</v>
      </c>
    </row>
    <row r="89" spans="1:4" x14ac:dyDescent="0.25">
      <c r="A89" s="1154" t="s">
        <v>2736</v>
      </c>
      <c r="B89" s="1154" t="s">
        <v>2737</v>
      </c>
      <c r="C89" s="1154" t="s">
        <v>2738</v>
      </c>
      <c r="D89" s="1154" t="str">
        <f>IF(Input!$K$81=1,Übersetzungen!A89,IF(Input!$K$81=2,Übersetzungen!B89,Übersetzungen!C89))</f>
        <v>Altersgutschriften gemäss Planbeschrieb</v>
      </c>
    </row>
    <row r="90" spans="1:4" x14ac:dyDescent="0.25">
      <c r="A90" s="1154" t="s">
        <v>2739</v>
      </c>
      <c r="B90" s="1154" t="s">
        <v>2740</v>
      </c>
      <c r="C90" s="1154" t="s">
        <v>2741</v>
      </c>
      <c r="D90" s="1154" t="str">
        <f>IF(Input!$K$81=1,Übersetzungen!A90,IF(Input!$K$81=2,Übersetzungen!B90,Übersetzungen!C90))</f>
        <v>Zusatzsparplan</v>
      </c>
    </row>
    <row r="91" spans="1:4" x14ac:dyDescent="0.25">
      <c r="A91" s="1154" t="s">
        <v>682</v>
      </c>
      <c r="B91" s="1154" t="s">
        <v>2742</v>
      </c>
      <c r="C91" s="1154" t="s">
        <v>2682</v>
      </c>
      <c r="D91" s="1154" t="str">
        <f>IF(Input!$K$81=1,Übersetzungen!A91,IF(Input!$K$81=2,Übersetzungen!B91,Übersetzungen!C91))</f>
        <v>ohne Zusatzsparen</v>
      </c>
    </row>
    <row r="92" spans="1:4" x14ac:dyDescent="0.25">
      <c r="A92" s="1156" t="s">
        <v>2743</v>
      </c>
      <c r="B92" s="1156" t="s">
        <v>2744</v>
      </c>
      <c r="C92" s="1154" t="s">
        <v>2745</v>
      </c>
      <c r="D92" s="1154" t="str">
        <f>IF(Input!$K$81=1,Übersetzungen!A92,IF(Input!$K$81=2,Übersetzungen!B92,Übersetzungen!C92))</f>
        <v>Zusatzsparmodul 1</v>
      </c>
    </row>
    <row r="93" spans="1:4" x14ac:dyDescent="0.25">
      <c r="A93" s="1156" t="s">
        <v>2746</v>
      </c>
      <c r="B93" s="1156" t="s">
        <v>2747</v>
      </c>
      <c r="C93" s="1154" t="s">
        <v>2748</v>
      </c>
      <c r="D93" s="1154" t="str">
        <f>IF(Input!$K$81=1,Übersetzungen!A93,IF(Input!$K$81=2,Übersetzungen!B93,Übersetzungen!C93))</f>
        <v>Zusatzsparmodul 2</v>
      </c>
    </row>
    <row r="94" spans="1:4" x14ac:dyDescent="0.25">
      <c r="A94" s="1154" t="s">
        <v>1451</v>
      </c>
      <c r="B94" s="1156" t="s">
        <v>2648</v>
      </c>
      <c r="C94" s="1156" t="s">
        <v>2649</v>
      </c>
      <c r="D94" s="1154" t="str">
        <f>IF(Input!$K$81=1,Übersetzungen!A94,IF(Input!$K$81=2,Übersetzungen!B94,Übersetzungen!C94))</f>
        <v>gemäss BVG</v>
      </c>
    </row>
    <row r="95" spans="1:4" x14ac:dyDescent="0.25">
      <c r="A95" s="1156" t="s">
        <v>2749</v>
      </c>
      <c r="B95" s="1156" t="s">
        <v>2750</v>
      </c>
      <c r="C95" s="1156" t="s">
        <v>2751</v>
      </c>
      <c r="D95" s="1154" t="str">
        <f>IF(Input!$K$81=1,Übersetzungen!A95,IF(Input!$K$81=2,Übersetzungen!B95,Übersetzungen!C95))</f>
        <v>% Invalidenrente vom versicherten Lohn</v>
      </c>
    </row>
    <row r="96" spans="1:4" x14ac:dyDescent="0.25">
      <c r="A96" s="1156" t="s">
        <v>2752</v>
      </c>
      <c r="B96" s="1156" t="s">
        <v>2753</v>
      </c>
      <c r="C96" s="1156" t="s">
        <v>2754</v>
      </c>
      <c r="D96" s="1154" t="str">
        <f>IF(Input!$K$81=1,Übersetzungen!A96,IF(Input!$K$81=2,Übersetzungen!B96,Übersetzungen!C96))</f>
        <v>Auszahlung Altersguthabens als zusätzliches Todesfallkapital</v>
      </c>
    </row>
    <row r="97" spans="1:4" x14ac:dyDescent="0.25">
      <c r="A97" s="1156" t="s">
        <v>2755</v>
      </c>
      <c r="B97" s="1156" t="s">
        <v>2756</v>
      </c>
      <c r="C97" s="1156" t="s">
        <v>2757</v>
      </c>
      <c r="D97" s="1154" t="str">
        <f>IF(Input!$K$81=1,Übersetzungen!A97,IF(Input!$K$81=2,Übersetzungen!B97,Übersetzungen!C97))</f>
        <v>gemäss Vorsorgereglement</v>
      </c>
    </row>
    <row r="98" spans="1:4" x14ac:dyDescent="0.25">
      <c r="A98" s="1156" t="s">
        <v>2758</v>
      </c>
      <c r="B98" s="1156" t="s">
        <v>2759</v>
      </c>
      <c r="C98" s="1156" t="s">
        <v>2760</v>
      </c>
      <c r="D98" s="1154" t="str">
        <f>IF(Input!$K$81=1,Übersetzungen!A98,IF(Input!$K$81=2,Übersetzungen!B98,Übersetzungen!C98))</f>
        <v>Zusätzliches Todesfallkapital in % des versicherten Lohnes</v>
      </c>
    </row>
    <row r="99" spans="1:4" x14ac:dyDescent="0.25">
      <c r="A99" s="1156" t="s">
        <v>2761</v>
      </c>
      <c r="B99" s="1156" t="s">
        <v>2762</v>
      </c>
      <c r="C99" s="1156" t="s">
        <v>2763</v>
      </c>
      <c r="D99" s="1154" t="str">
        <f>IF(Input!$K$81=1,Übersetzungen!A99,IF(Input!$K$81=2,Übersetzungen!B99,Übersetzungen!C99))</f>
        <v>Beitragsbefreiung gemäss BVG</v>
      </c>
    </row>
    <row r="100" spans="1:4" x14ac:dyDescent="0.25">
      <c r="A100" s="1156" t="s">
        <v>2764</v>
      </c>
      <c r="B100" s="1156" t="s">
        <v>2765</v>
      </c>
      <c r="C100" s="1156" t="s">
        <v>2766</v>
      </c>
      <c r="D100" s="1154" t="str">
        <f>IF(Input!$K$81=1,Übersetzungen!A100,IF(Input!$K$81=2,Übersetzungen!B100,Übersetzungen!C100))</f>
        <v>Beitragsbefreiung gemäss Plan</v>
      </c>
    </row>
    <row r="101" spans="1:4" x14ac:dyDescent="0.25">
      <c r="A101" s="1154" t="s">
        <v>2767</v>
      </c>
      <c r="B101" s="1154" t="s">
        <v>2768</v>
      </c>
      <c r="C101" s="1154" t="s">
        <v>2769</v>
      </c>
      <c r="D101" s="1154" t="str">
        <f>IF(Input!$K$81=1,Übersetzungen!A101,IF(Input!$K$81=2,Übersetzungen!B101,Übersetzungen!C101))</f>
        <v>Wartefrist (Tage)</v>
      </c>
    </row>
    <row r="102" spans="1:4" x14ac:dyDescent="0.25">
      <c r="A102" s="1154" t="s">
        <v>2770</v>
      </c>
      <c r="B102" s="1154" t="s">
        <v>2771</v>
      </c>
      <c r="C102" s="1154" t="s">
        <v>2772</v>
      </c>
      <c r="D102" s="1154" t="str">
        <f>IF(Input!$K$81=1,Übersetzungen!A102,IF(Input!$K$81=2,Übersetzungen!B102,Übersetzungen!C102))</f>
        <v>Krankentaggeldversicherung von 720 Tagen in Koordination zum BVG vorhanden</v>
      </c>
    </row>
    <row r="103" spans="1:4" x14ac:dyDescent="0.25">
      <c r="A103" s="1154" t="s">
        <v>2773</v>
      </c>
      <c r="B103" s="1154" t="s">
        <v>2774</v>
      </c>
      <c r="C103" s="1154" t="s">
        <v>2775</v>
      </c>
      <c r="D103" s="1154" t="str">
        <f>IF(Input!$K$81=1,Übersetzungen!A103,IF(Input!$K$81=2,Übersetzungen!B103,Übersetzungen!C103))</f>
        <v>keine Krankentaggeldversicherung oder Krankenttageldversicherung mit kürzerer Leistungsdauer als 720 Tagen vorhanden</v>
      </c>
    </row>
    <row r="104" spans="1:4" x14ac:dyDescent="0.25">
      <c r="A104" s="1154" t="s">
        <v>2776</v>
      </c>
      <c r="B104" s="1154" t="s">
        <v>2777</v>
      </c>
      <c r="C104" s="1154" t="s">
        <v>2778</v>
      </c>
      <c r="D104" s="1154" t="str">
        <f>IF(Input!$K$81=1,Übersetzungen!A104,IF(Input!$K$81=2,Übersetzungen!B104,Übersetzungen!C104))</f>
        <v>Allfällig bestehende Gesundheitsvorbehalte sind in dieser Offerte nicht berücksichtigt. Die Risikobeurteilung bzw. die definitive Aufnahmebestätigung erfolgt ausschliesslich durch PAT-BVG.</v>
      </c>
    </row>
    <row r="105" spans="1:4" x14ac:dyDescent="0.25">
      <c r="A105" s="1154" t="s">
        <v>2779</v>
      </c>
      <c r="B105" s="1154" t="s">
        <v>2780</v>
      </c>
      <c r="C105" s="1154" t="s">
        <v>2781</v>
      </c>
      <c r="D105" s="1154" t="str">
        <f>IF(Input!$K$81=1,Übersetzungen!A105,IF(Input!$K$81=2,Übersetzungen!B105,Übersetzungen!C105))</f>
        <v xml:space="preserve">Rundungsdifferenzen zu Produktion möglich (maximale Differenz: Beiträge CHF 2.40/Jahr; Renten CHF 12.00/Jahr)
</v>
      </c>
    </row>
    <row r="106" spans="1:4" x14ac:dyDescent="0.25">
      <c r="A106" s="1154" t="s">
        <v>2782</v>
      </c>
      <c r="B106" s="1154" t="s">
        <v>2783</v>
      </c>
      <c r="C106" s="1154" t="s">
        <v>2784</v>
      </c>
      <c r="D106" s="1154" t="str">
        <f>IF(Input!$K$81=1,Übersetzungen!A106,IF(Input!$K$81=2,Übersetzungen!B106,Übersetzungen!C106))</f>
        <v xml:space="preserve">Name, Vorname </v>
      </c>
    </row>
    <row r="107" spans="1:4" x14ac:dyDescent="0.25">
      <c r="A107" s="1154" t="s">
        <v>1651</v>
      </c>
      <c r="B107" s="1154" t="s">
        <v>2593</v>
      </c>
      <c r="C107" s="1154" t="s">
        <v>2594</v>
      </c>
      <c r="D107" s="1154" t="str">
        <f>IF(Input!$K$81=1,Übersetzungen!A107,IF(Input!$K$81=2,Übersetzungen!B107,Übersetzungen!C107))</f>
        <v>Geburtsdatum</v>
      </c>
    </row>
    <row r="108" spans="1:4" x14ac:dyDescent="0.25">
      <c r="A108" s="1154" t="s">
        <v>2785</v>
      </c>
      <c r="B108" s="1154" t="s">
        <v>2614</v>
      </c>
      <c r="C108" s="1154" t="s">
        <v>2615</v>
      </c>
      <c r="D108" s="1154" t="str">
        <f>IF(Input!$K$81=1,Übersetzungen!A108,IF(Input!$K$81=2,Übersetzungen!B108,Übersetzungen!C108))</f>
        <v>BVG-Alter</v>
      </c>
    </row>
    <row r="109" spans="1:4" x14ac:dyDescent="0.25">
      <c r="A109" s="1154" t="s">
        <v>964</v>
      </c>
      <c r="B109" s="1154" t="s">
        <v>2786</v>
      </c>
      <c r="C109" s="1154" t="s">
        <v>2787</v>
      </c>
      <c r="D109" s="1154" t="str">
        <f>IF(Input!$K$81=1,Übersetzungen!A109,IF(Input!$K$81=2,Übersetzungen!B109,Übersetzungen!C109))</f>
        <v>Geschlecht</v>
      </c>
    </row>
    <row r="110" spans="1:4" x14ac:dyDescent="0.25">
      <c r="A110" s="1154" t="s">
        <v>2788</v>
      </c>
      <c r="B110" s="1154" t="s">
        <v>2789</v>
      </c>
      <c r="C110" s="1154" t="s">
        <v>2790</v>
      </c>
      <c r="D110" s="1154" t="str">
        <f>IF(Input!$K$81=1,Übersetzungen!A110,IF(Input!$K$81=2,Übersetzungen!B110,Übersetzungen!C110))</f>
        <v>Lohndaten</v>
      </c>
    </row>
    <row r="111" spans="1:4" x14ac:dyDescent="0.25">
      <c r="A111" s="1154" t="s">
        <v>2791</v>
      </c>
      <c r="B111" s="1154" t="s">
        <v>2792</v>
      </c>
      <c r="C111" s="1154" t="s">
        <v>2606</v>
      </c>
      <c r="D111" s="1154" t="str">
        <f>IF(Input!$K$81=1,Übersetzungen!A111,IF(Input!$K$81=2,Übersetzungen!B111,Übersetzungen!C111))</f>
        <v>gemeldeter Lohn AHV</v>
      </c>
    </row>
    <row r="112" spans="1:4" x14ac:dyDescent="0.25">
      <c r="A112" s="1156" t="s">
        <v>2793</v>
      </c>
      <c r="B112" s="1156" t="s">
        <v>2794</v>
      </c>
      <c r="C112" s="1156" t="s">
        <v>2795</v>
      </c>
      <c r="D112" s="1154" t="str">
        <f>IF(Input!$K$81=1,Übersetzungen!A112,IF(Input!$K$81=2,Übersetzungen!B112,Übersetzungen!C112))</f>
        <v>BVG-Lohn</v>
      </c>
    </row>
    <row r="113" spans="1:4" x14ac:dyDescent="0.25">
      <c r="A113" s="1156" t="s">
        <v>2796</v>
      </c>
      <c r="B113" s="1156" t="s">
        <v>2797</v>
      </c>
      <c r="C113" s="1156" t="s">
        <v>2798</v>
      </c>
      <c r="D113" s="1154" t="str">
        <f>IF(Input!$K$81=1,Übersetzungen!A113,IF(Input!$K$81=2,Übersetzungen!B113,Übersetzungen!C113))</f>
        <v>Beiträge</v>
      </c>
    </row>
    <row r="114" spans="1:4" x14ac:dyDescent="0.25">
      <c r="A114" s="1156" t="s">
        <v>2799</v>
      </c>
      <c r="B114" s="1156" t="s">
        <v>2800</v>
      </c>
      <c r="C114" s="1156" t="s">
        <v>2801</v>
      </c>
      <c r="D114" s="1154" t="str">
        <f>IF(Input!$K$81=1,Übersetzungen!A114,IF(Input!$K$81=2,Übersetzungen!B114,Übersetzungen!C114))</f>
        <v>Einmalige Anschlusskosten*</v>
      </c>
    </row>
    <row r="115" spans="1:4" x14ac:dyDescent="0.25">
      <c r="A115" s="1154" t="s">
        <v>2802</v>
      </c>
      <c r="B115" s="1154" t="s">
        <v>2803</v>
      </c>
      <c r="C115" s="1154" t="s">
        <v>2804</v>
      </c>
      <c r="D115" s="1154" t="str">
        <f>IF(Input!$K$81=1,Übersetzungen!A115,IF(Input!$K$81=2,Übersetzungen!B115,Übersetzungen!C115))</f>
        <v>Art</v>
      </c>
    </row>
    <row r="116" spans="1:4" x14ac:dyDescent="0.25">
      <c r="A116" s="1154" t="s">
        <v>2805</v>
      </c>
      <c r="B116" s="1154" t="s">
        <v>2806</v>
      </c>
      <c r="C116" s="1154" t="s">
        <v>2807</v>
      </c>
      <c r="D116" s="1154" t="str">
        <f>IF(Input!$K$81=1,Übersetzungen!A116,IF(Input!$K$81=2,Übersetzungen!B116,Übersetzungen!C116))</f>
        <v>vorh. FZL</v>
      </c>
    </row>
    <row r="117" spans="1:4" x14ac:dyDescent="0.25">
      <c r="A117" s="1154" t="s">
        <v>2808</v>
      </c>
      <c r="B117" s="1154" t="s">
        <v>2809</v>
      </c>
      <c r="C117" s="1154" t="s">
        <v>2810</v>
      </c>
      <c r="D117" s="1154" t="str">
        <f>IF(Input!$K$81=1,Übersetzungen!A117,IF(Input!$K$81=2,Übersetzungen!B117,Übersetzungen!C117))</f>
        <v>Anteil BVG</v>
      </c>
    </row>
    <row r="118" spans="1:4" x14ac:dyDescent="0.25">
      <c r="A118" s="1154" t="s">
        <v>2811</v>
      </c>
      <c r="B118" s="1154" t="s">
        <v>2812</v>
      </c>
      <c r="C118" s="1154" t="s">
        <v>2813</v>
      </c>
      <c r="D118" s="1154" t="str">
        <f>IF(Input!$K$81=1,Übersetzungen!A118,IF(Input!$K$81=2,Übersetzungen!B118,Übersetzungen!C118))</f>
        <v xml:space="preserve">voraussichtliche Altersleistungen </v>
      </c>
    </row>
    <row r="119" spans="1:4" x14ac:dyDescent="0.25">
      <c r="A119" s="1154" t="s">
        <v>2814</v>
      </c>
      <c r="B119" s="1154" t="s">
        <v>2815</v>
      </c>
      <c r="C119" s="1154" t="s">
        <v>2816</v>
      </c>
      <c r="D119" s="1154" t="str">
        <f>IF(Input!$K$81=1,Übersetzungen!A119,IF(Input!$K$81=2,Übersetzungen!B119,Übersetzungen!C119))</f>
        <v>mit Zinsprojektion</v>
      </c>
    </row>
    <row r="120" spans="1:4" x14ac:dyDescent="0.25">
      <c r="A120" s="1154" t="s">
        <v>2817</v>
      </c>
      <c r="B120" s="1154" t="s">
        <v>2818</v>
      </c>
      <c r="C120" s="1154" t="s">
        <v>2819</v>
      </c>
      <c r="D120" s="1154" t="str">
        <f>IF(Input!$K$81=1,Übersetzungen!A120,IF(Input!$K$81=2,Übersetzungen!B120,Übersetzungen!C120))</f>
        <v>Risikoleistungen (Jahresrenten</v>
      </c>
    </row>
    <row r="121" spans="1:4" x14ac:dyDescent="0.25">
      <c r="A121" s="1154" t="s">
        <v>2820</v>
      </c>
      <c r="B121" s="1154" t="s">
        <v>2821</v>
      </c>
      <c r="C121" s="1154" t="s">
        <v>2822</v>
      </c>
      <c r="D121" s="1154" t="str">
        <f>IF(Input!$K$81=1,Übersetzungen!A121,IF(Input!$K$81=2,Übersetzungen!B121,Übersetzungen!C121))</f>
        <v>in % vers. Lohn oder gemäss BVG)</v>
      </c>
    </row>
    <row r="122" spans="1:4" x14ac:dyDescent="0.25">
      <c r="A122" s="1154" t="s">
        <v>2823</v>
      </c>
      <c r="B122" s="1154" t="s">
        <v>2824</v>
      </c>
      <c r="C122" s="1154" t="s">
        <v>2825</v>
      </c>
      <c r="D122" s="1154" t="str">
        <f>IF(Input!$K$81=1,Übersetzungen!A122,IF(Input!$K$81=2,Übersetzungen!B122,Übersetzungen!C122))</f>
        <v>Alterskinderrente im AHV-Alter</v>
      </c>
    </row>
    <row r="123" spans="1:4" x14ac:dyDescent="0.25">
      <c r="A123" s="1154" t="s">
        <v>990</v>
      </c>
      <c r="B123" s="1154" t="s">
        <v>2826</v>
      </c>
      <c r="C123" s="1154" t="s">
        <v>2827</v>
      </c>
      <c r="D123" s="1154" t="str">
        <f>IF(Input!$K$81=1,Übersetzungen!A123,IF(Input!$K$81=2,Übersetzungen!B123,Übersetzungen!C123))</f>
        <v>Alter</v>
      </c>
    </row>
    <row r="124" spans="1:4" x14ac:dyDescent="0.25">
      <c r="A124" s="1154" t="s">
        <v>1115</v>
      </c>
      <c r="B124" s="1154" t="s">
        <v>2828</v>
      </c>
      <c r="C124" s="1154" t="s">
        <v>2828</v>
      </c>
      <c r="D124" s="1154" t="str">
        <f>IF(Input!$K$81=1,Übersetzungen!A124,IF(Input!$K$81=2,Übersetzungen!B124,Übersetzungen!C124))</f>
        <v>UWS</v>
      </c>
    </row>
    <row r="125" spans="1:4" x14ac:dyDescent="0.25">
      <c r="A125" s="1154" t="s">
        <v>1112</v>
      </c>
      <c r="B125" s="1154" t="s">
        <v>2829</v>
      </c>
      <c r="C125" s="1154" t="s">
        <v>2830</v>
      </c>
      <c r="D125" s="1154" t="str">
        <f>IF(Input!$K$81=1,Übersetzungen!A125,IF(Input!$K$81=2,Übersetzungen!B125,Übersetzungen!C125))</f>
        <v>Kapital</v>
      </c>
    </row>
    <row r="126" spans="1:4" x14ac:dyDescent="0.25">
      <c r="A126" s="1154" t="s">
        <v>1123</v>
      </c>
      <c r="B126" s="1154" t="s">
        <v>1123</v>
      </c>
      <c r="C126" s="1154" t="s">
        <v>2831</v>
      </c>
      <c r="D126" s="1154" t="str">
        <f>IF(Input!$K$81=1,Übersetzungen!A126,IF(Input!$K$81=2,Übersetzungen!B126,Übersetzungen!C126))</f>
        <v>Rente</v>
      </c>
    </row>
    <row r="127" spans="1:4" x14ac:dyDescent="0.25">
      <c r="A127" s="1154" t="s">
        <v>2832</v>
      </c>
      <c r="B127" s="1154" t="s">
        <v>2833</v>
      </c>
      <c r="C127" s="1154" t="s">
        <v>2834</v>
      </c>
      <c r="D127" s="1154" t="str">
        <f>IF(Input!$K$81=1,Übersetzungen!A127,IF(Input!$K$81=2,Übersetzungen!B127,Übersetzungen!C127))</f>
        <v>Rentenart</v>
      </c>
    </row>
    <row r="128" spans="1:4" x14ac:dyDescent="0.25">
      <c r="A128" s="1154" t="s">
        <v>2835</v>
      </c>
      <c r="B128" s="1154" t="s">
        <v>2836</v>
      </c>
      <c r="C128" s="1154" t="s">
        <v>2836</v>
      </c>
      <c r="D128" s="1154" t="str">
        <f>IF(Input!$K$81=1,Übersetzungen!A128,IF(Input!$K$81=2,Übersetzungen!B128,Übersetzungen!C128))</f>
        <v>gem.BVG</v>
      </c>
    </row>
    <row r="129" spans="1:4" x14ac:dyDescent="0.25">
      <c r="A129" s="1154" t="s">
        <v>2837</v>
      </c>
      <c r="B129" s="1154" t="s">
        <v>1005</v>
      </c>
      <c r="C129" s="1154" t="s">
        <v>1005</v>
      </c>
      <c r="D129" s="1154" t="str">
        <f>IF(Input!$K$81=1,Übersetzungen!A129,IF(Input!$K$81=2,Übersetzungen!B129,Übersetzungen!C129))</f>
        <v>%vL</v>
      </c>
    </row>
    <row r="130" spans="1:4" x14ac:dyDescent="0.25">
      <c r="A130" s="1154" t="s">
        <v>2838</v>
      </c>
      <c r="B130" s="1154" t="s">
        <v>2839</v>
      </c>
      <c r="C130" s="1154" t="s">
        <v>2840</v>
      </c>
      <c r="D130" s="1154" t="str">
        <f>IF(Input!$K$81=1,Übersetzungen!A130,IF(Input!$K$81=2,Übersetzungen!B130,Übersetzungen!C130))</f>
        <v xml:space="preserve"> Personen</v>
      </c>
    </row>
    <row r="131" spans="1:4" x14ac:dyDescent="0.25">
      <c r="A131" s="1154" t="s">
        <v>2841</v>
      </c>
      <c r="B131" s="1154" t="s">
        <v>2842</v>
      </c>
      <c r="C131" s="1154" t="s">
        <v>2843</v>
      </c>
      <c r="D131" s="1154" t="str">
        <f>IF(Input!$K$81=1,Übersetzungen!A131,IF(Input!$K$81=2,Übersetzungen!B131,Übersetzungen!C131))</f>
        <v>Total Beiträge</v>
      </c>
    </row>
    <row r="132" spans="1:4" x14ac:dyDescent="0.25">
      <c r="A132" s="1154" t="s">
        <v>2844</v>
      </c>
      <c r="B132" s="1154" t="s">
        <v>2845</v>
      </c>
      <c r="C132" s="1154" t="s">
        <v>2846</v>
      </c>
      <c r="D132" s="1154" t="str">
        <f>IF(Input!$K$81=1,Übersetzungen!A132,IF(Input!$K$81=2,Übersetzungen!B132,Übersetzungen!C132))</f>
        <v>Anteil Versicherte/r</v>
      </c>
    </row>
    <row r="133" spans="1:4" x14ac:dyDescent="0.25">
      <c r="A133" s="1154" t="s">
        <v>2052</v>
      </c>
      <c r="B133" s="1154" t="s">
        <v>2630</v>
      </c>
      <c r="C133" s="1154" t="s">
        <v>2847</v>
      </c>
      <c r="D133" s="1154" t="str">
        <f>IF(Input!$K$81=1,Übersetzungen!A133,IF(Input!$K$81=2,Übersetzungen!B133,Übersetzungen!C133))</f>
        <v>Sparen</v>
      </c>
    </row>
    <row r="134" spans="1:4" x14ac:dyDescent="0.25">
      <c r="A134" s="1154" t="s">
        <v>1249</v>
      </c>
      <c r="B134" s="1154" t="s">
        <v>2631</v>
      </c>
      <c r="C134" s="1154" t="s">
        <v>2632</v>
      </c>
      <c r="D134" s="1154" t="str">
        <f>IF(Input!$K$81=1,Übersetzungen!A134,IF(Input!$K$81=2,Übersetzungen!B134,Übersetzungen!C134))</f>
        <v>Risiko</v>
      </c>
    </row>
    <row r="135" spans="1:4" x14ac:dyDescent="0.25">
      <c r="A135" s="1154" t="s">
        <v>2848</v>
      </c>
      <c r="B135" s="1154" t="s">
        <v>2849</v>
      </c>
      <c r="C135" s="1154" t="s">
        <v>2850</v>
      </c>
      <c r="D135" s="1154" t="str">
        <f>IF(Input!$K$81=1,Übersetzungen!A135,IF(Input!$K$81=2,Übersetzungen!B135,Übersetzungen!C135))</f>
        <v>Kosten</v>
      </c>
    </row>
    <row r="136" spans="1:4" x14ac:dyDescent="0.25">
      <c r="A136" s="1154" t="s">
        <v>2851</v>
      </c>
      <c r="B136" s="1154" t="s">
        <v>2852</v>
      </c>
      <c r="C136" s="1154" t="s">
        <v>2853</v>
      </c>
      <c r="D136" s="1154" t="str">
        <f>IF(Input!$K$81=1,Übersetzungen!A136,IF(Input!$K$81=2,Übersetzungen!B136,Übersetzungen!C136))</f>
        <v>AHV Alter</v>
      </c>
    </row>
    <row r="137" spans="1:4" x14ac:dyDescent="0.25">
      <c r="A137" s="1154" t="s">
        <v>1073</v>
      </c>
      <c r="B137" s="1154" t="s">
        <v>2854</v>
      </c>
      <c r="C137" s="1154" t="s">
        <v>2855</v>
      </c>
      <c r="D137" s="1154" t="str">
        <f>IF(Input!$K$81=1,Übersetzungen!A137,IF(Input!$K$81=2,Übersetzungen!B137,Übersetzungen!C137))</f>
        <v>Invalidenrente</v>
      </c>
    </row>
    <row r="138" spans="1:4" x14ac:dyDescent="0.25">
      <c r="A138" s="1154" t="s">
        <v>2856</v>
      </c>
      <c r="B138" s="1154" t="s">
        <v>2857</v>
      </c>
      <c r="C138" s="1154" t="s">
        <v>2858</v>
      </c>
      <c r="D138" s="1154" t="str">
        <f>IF(Input!$K$81=1,Übersetzungen!A138,IF(Input!$K$81=2,Übersetzungen!B138,Übersetzungen!C138))</f>
        <v>Partnerrente</v>
      </c>
    </row>
    <row r="139" spans="1:4" x14ac:dyDescent="0.25">
      <c r="A139" s="1154" t="s">
        <v>2859</v>
      </c>
      <c r="B139" s="1154" t="s">
        <v>2860</v>
      </c>
      <c r="C139" s="1154" t="s">
        <v>2861</v>
      </c>
      <c r="D139" s="1154" t="str">
        <f>IF(Input!$K$81=1,Übersetzungen!A139,IF(Input!$K$81=2,Übersetzungen!B139,Übersetzungen!C139))</f>
        <v>Kinderrenten</v>
      </c>
    </row>
    <row r="140" spans="1:4" x14ac:dyDescent="0.25">
      <c r="A140" s="1154" t="s">
        <v>979</v>
      </c>
      <c r="B140" s="1154" t="s">
        <v>2584</v>
      </c>
      <c r="C140" s="1154" t="s">
        <v>2862</v>
      </c>
      <c r="D140" s="1154" t="str">
        <f>IF(Input!$K$81=1,Übersetzungen!A140,IF(Input!$K$81=2,Übersetzungen!B140,Übersetzungen!C140))</f>
        <v>Todesfallkapital</v>
      </c>
    </row>
    <row r="141" spans="1:4" x14ac:dyDescent="0.25">
      <c r="A141" s="1154" t="s">
        <v>2863</v>
      </c>
      <c r="B141" s="1154" t="s">
        <v>2864</v>
      </c>
      <c r="C141" s="1154" t="s">
        <v>2865</v>
      </c>
      <c r="D141" s="1154" t="str">
        <f>IF(Input!$K$81=1,Übersetzungen!A141,IF(Input!$K$81=2,Übersetzungen!B141,Übersetzungen!C141))</f>
        <v>Alterskinderr.</v>
      </c>
    </row>
    <row r="142" spans="1:4" x14ac:dyDescent="0.25">
      <c r="A142" s="1154" t="s">
        <v>1094</v>
      </c>
      <c r="B142" s="1154" t="s">
        <v>2866</v>
      </c>
      <c r="C142" s="1154" t="s">
        <v>2867</v>
      </c>
      <c r="D142" s="1154" t="str">
        <f>IF(Input!$K$81=1,Übersetzungen!A142,IF(Input!$K$81=2,Übersetzungen!B142,Übersetzungen!C142))</f>
        <v>Mann</v>
      </c>
    </row>
    <row r="143" spans="1:4" x14ac:dyDescent="0.25">
      <c r="A143" s="1154" t="s">
        <v>1095</v>
      </c>
      <c r="B143" s="1154" t="s">
        <v>2868</v>
      </c>
      <c r="C143" s="1154" t="s">
        <v>2869</v>
      </c>
      <c r="D143" s="1154" t="str">
        <f>IF(Input!$K$81=1,Übersetzungen!A143,IF(Input!$K$81=2,Übersetzungen!B143,Übersetzungen!C143))</f>
        <v>Frau</v>
      </c>
    </row>
    <row r="144" spans="1:4" x14ac:dyDescent="0.25">
      <c r="A144" s="1154" t="s">
        <v>1034</v>
      </c>
      <c r="B144" s="1154" t="s">
        <v>2836</v>
      </c>
      <c r="C144" s="1154" t="s">
        <v>2836</v>
      </c>
      <c r="D144" s="1154" t="str">
        <f>IF(Input!$K$81=1,Übersetzungen!A144,IF(Input!$K$81=2,Übersetzungen!B144,Übersetzungen!C144))</f>
        <v>BVG</v>
      </c>
    </row>
    <row r="149" spans="1:4" ht="21" x14ac:dyDescent="0.4">
      <c r="A149" s="1153" t="s">
        <v>2870</v>
      </c>
    </row>
    <row r="150" spans="1:4" x14ac:dyDescent="0.25">
      <c r="A150" s="1154" t="s">
        <v>1488</v>
      </c>
      <c r="B150" s="1154" t="s">
        <v>2871</v>
      </c>
      <c r="C150" s="1154" t="s">
        <v>2872</v>
      </c>
      <c r="D150" s="1154" t="str">
        <f>IF(Input!$K$81=1,Übersetzungen!A150,IF(Input!$K$81=2,Übersetzungen!B150,Übersetzungen!C150))</f>
        <v>Offerte</v>
      </c>
    </row>
    <row r="151" spans="1:4" x14ac:dyDescent="0.25">
      <c r="A151" s="1154" t="s">
        <v>2960</v>
      </c>
      <c r="B151" s="1154" t="s">
        <v>2961</v>
      </c>
      <c r="C151" s="1163" t="s">
        <v>3154</v>
      </c>
      <c r="D151" s="1154" t="str">
        <f>IF(Input!$K$81=1,Übersetzungen!A151,IF(Input!$K$81=2,Übersetzungen!B151,Übersetzungen!C151))</f>
        <v>Leistungen und Beiträge</v>
      </c>
    </row>
    <row r="152" spans="1:4" x14ac:dyDescent="0.25">
      <c r="A152" s="1154" t="s">
        <v>1161</v>
      </c>
      <c r="B152" s="1154" t="s">
        <v>2873</v>
      </c>
      <c r="C152" s="1154" t="s">
        <v>2874</v>
      </c>
      <c r="D152" s="1154" t="str">
        <f>IF(Input!$K$81=1,Übersetzungen!A152,IF(Input!$K$81=2,Übersetzungen!B152,Übersetzungen!C152))</f>
        <v>VERSICHERTE PERSON</v>
      </c>
    </row>
    <row r="153" spans="1:4" x14ac:dyDescent="0.25">
      <c r="A153" s="1154" t="s">
        <v>1086</v>
      </c>
      <c r="B153" s="1154" t="s">
        <v>2875</v>
      </c>
      <c r="C153" s="1154" t="s">
        <v>2876</v>
      </c>
      <c r="D153" s="1154" t="str">
        <f>IF(Input!$K$81=1,Übersetzungen!A153,IF(Input!$K$81=2,Übersetzungen!B153,Übersetzungen!C153))</f>
        <v>Module</v>
      </c>
    </row>
    <row r="154" spans="1:4" x14ac:dyDescent="0.25">
      <c r="A154" s="1154" t="s">
        <v>1792</v>
      </c>
      <c r="B154" s="1154" t="s">
        <v>2962</v>
      </c>
      <c r="C154" s="1154" t="s">
        <v>2962</v>
      </c>
      <c r="D154" s="1154" t="str">
        <f>IF(Input!$K$81=1,Übersetzungen!A154,IF(Input!$K$81=2,Übersetzungen!B154,Übersetzungen!C154))</f>
        <v>Vers.</v>
      </c>
    </row>
    <row r="155" spans="1:4" x14ac:dyDescent="0.25">
      <c r="A155" s="1154" t="s">
        <v>1315</v>
      </c>
      <c r="B155" s="1154" t="s">
        <v>2963</v>
      </c>
      <c r="C155" s="1154" t="s">
        <v>2966</v>
      </c>
      <c r="D155" s="1154" t="str">
        <f>IF(Input!$K$81=1,Übersetzungen!A155,IF(Input!$K$81=2,Übersetzungen!B155,Übersetzungen!C155))</f>
        <v>AN</v>
      </c>
    </row>
    <row r="156" spans="1:4" x14ac:dyDescent="0.25">
      <c r="A156" s="1154" t="s">
        <v>1799</v>
      </c>
      <c r="B156" s="1154" t="s">
        <v>2964</v>
      </c>
      <c r="C156" s="1154" t="s">
        <v>2964</v>
      </c>
      <c r="D156" s="1154" t="str">
        <f>IF(Input!$K$81=1,Übersetzungen!A156,IF(Input!$K$81=2,Übersetzungen!B156,Übersetzungen!C156))</f>
        <v>SE&lt;50</v>
      </c>
    </row>
    <row r="157" spans="1:4" x14ac:dyDescent="0.25">
      <c r="A157" s="1154" t="s">
        <v>1817</v>
      </c>
      <c r="B157" s="1154" t="s">
        <v>2965</v>
      </c>
      <c r="C157" s="1154" t="s">
        <v>2965</v>
      </c>
      <c r="D157" s="1154" t="str">
        <f>IF(Input!$K$81=1,Übersetzungen!A157,IF(Input!$K$81=2,Übersetzungen!B157,Übersetzungen!C157))</f>
        <v>SE&gt;50_v</v>
      </c>
    </row>
    <row r="158" spans="1:4" x14ac:dyDescent="0.25">
      <c r="A158" s="1154" t="s">
        <v>3734</v>
      </c>
      <c r="B158" s="1154" t="s">
        <v>3735</v>
      </c>
      <c r="C158" s="1154" t="s">
        <v>3735</v>
      </c>
      <c r="D158" s="1154" t="str">
        <f>IF(Input!$K$81=1,Übersetzungen!A158,IF(Input!$K$81=2,Übersetzungen!B158,Übersetzungen!C158))</f>
        <v>SE&gt;60</v>
      </c>
    </row>
    <row r="159" spans="1:4" x14ac:dyDescent="0.25">
      <c r="A159" s="1154" t="s">
        <v>2050</v>
      </c>
      <c r="B159" s="1154" t="s">
        <v>2877</v>
      </c>
      <c r="C159" s="1163" t="s">
        <v>2878</v>
      </c>
      <c r="D159" s="1154" t="str">
        <f>IF(Input!$K$81=1,Übersetzungen!A159,IF(Input!$K$81=2,Übersetzungen!B159,Übersetzungen!C159))</f>
        <v>Name / Vorname</v>
      </c>
    </row>
    <row r="160" spans="1:4" x14ac:dyDescent="0.25">
      <c r="A160" s="1154" t="s">
        <v>3712</v>
      </c>
      <c r="B160" s="1154" t="s">
        <v>3713</v>
      </c>
      <c r="C160" s="1163" t="s">
        <v>3714</v>
      </c>
      <c r="D160" s="1154" t="str">
        <f>IF(Input!$K$81=1,Übersetzungen!A160,IF(Input!$K$81=2,Übersetzungen!B160,Übersetzungen!C160))</f>
        <v>Alter / Geburtsdatum</v>
      </c>
    </row>
    <row r="161" spans="1:4" x14ac:dyDescent="0.25">
      <c r="A161" s="1154" t="s">
        <v>3715</v>
      </c>
      <c r="B161" s="1154" t="s">
        <v>3716</v>
      </c>
      <c r="C161" s="1163" t="s">
        <v>3717</v>
      </c>
      <c r="D161" s="1154" t="str">
        <f>IF(Input!$K$81=1,Übersetzungen!A161,IF(Input!$K$81=2,Übersetzungen!B161,Übersetzungen!C161))</f>
        <v>AHV-Nummer / Name / Vorname</v>
      </c>
    </row>
    <row r="162" spans="1:4" x14ac:dyDescent="0.25">
      <c r="A162" s="1154" t="s">
        <v>3974</v>
      </c>
      <c r="B162" s="1154" t="s">
        <v>3976</v>
      </c>
      <c r="C162" s="1163" t="s">
        <v>3975</v>
      </c>
      <c r="D162" s="1154" t="str">
        <f>IF(Input!$K$81=1,Übersetzungen!A162,IF(Input!$K$81=2,Übersetzungen!B162,Übersetzungen!C162))</f>
        <v>AHV-Referenzalter erreicht am</v>
      </c>
    </row>
    <row r="163" spans="1:4" x14ac:dyDescent="0.25">
      <c r="A163" s="1154" t="s">
        <v>2967</v>
      </c>
      <c r="B163" s="1163" t="s">
        <v>3167</v>
      </c>
      <c r="C163" s="1163" t="s">
        <v>3155</v>
      </c>
      <c r="D163" s="1154" t="str">
        <f>IF(Input!$K$81=1,Übersetzungen!A163,IF(Input!$K$81=2,Übersetzungen!B163,Übersetzungen!C163))</f>
        <v>Eintritt in PAT-BVG vor 2017 / Offerte per</v>
      </c>
    </row>
    <row r="164" spans="1:4" x14ac:dyDescent="0.25">
      <c r="A164" s="1154" t="s">
        <v>1369</v>
      </c>
      <c r="B164" s="1163" t="s">
        <v>2722</v>
      </c>
      <c r="C164" s="1163" t="s">
        <v>2880</v>
      </c>
      <c r="D164" s="1154" t="str">
        <f>IF(Input!$K$81=1,Übersetzungen!A164,IF(Input!$K$81=2,Übersetzungen!B164,Übersetzungen!C164))</f>
        <v>Offerte per</v>
      </c>
    </row>
    <row r="165" spans="1:4" x14ac:dyDescent="0.25">
      <c r="A165" s="1154" t="s">
        <v>2034</v>
      </c>
      <c r="B165" s="1163" t="s">
        <v>2881</v>
      </c>
      <c r="C165" s="1163" t="s">
        <v>2882</v>
      </c>
      <c r="D165" s="1154" t="str">
        <f>IF(Input!$K$81=1,Übersetzungen!A165,IF(Input!$K$81=2,Übersetzungen!B165,Übersetzungen!C165))</f>
        <v>Jahreslohn in CHF</v>
      </c>
    </row>
    <row r="166" spans="1:4" x14ac:dyDescent="0.25">
      <c r="A166" s="1154" t="s">
        <v>2968</v>
      </c>
      <c r="B166" s="1163" t="s">
        <v>3168</v>
      </c>
      <c r="C166" s="1163" t="s">
        <v>3156</v>
      </c>
      <c r="D166" s="1154" t="str">
        <f>IF(Input!$K$81=1,Übersetzungen!A166,IF(Input!$K$81=2,Übersetzungen!B166,Übersetzungen!C166))</f>
        <v>Beschäftigungsgrad / versichertes Einkommen in CHF</v>
      </c>
    </row>
    <row r="167" spans="1:4" x14ac:dyDescent="0.25">
      <c r="A167" s="1154" t="s">
        <v>2072</v>
      </c>
      <c r="B167" s="1163" t="s">
        <v>2883</v>
      </c>
      <c r="C167" s="1163" t="s">
        <v>2884</v>
      </c>
      <c r="D167" s="1154" t="str">
        <f>IF(Input!$K$81=1,Übersetzungen!A167,IF(Input!$K$81=2,Übersetzungen!B167,Übersetzungen!C167))</f>
        <v>Versichertes Einkommen in CHF</v>
      </c>
    </row>
    <row r="168" spans="1:4" x14ac:dyDescent="0.25">
      <c r="A168" s="1156" t="s">
        <v>2885</v>
      </c>
      <c r="B168" s="1164" t="s">
        <v>2886</v>
      </c>
      <c r="C168" s="1164" t="s">
        <v>2887</v>
      </c>
      <c r="D168" s="1154" t="str">
        <f>IF(Input!$K$81=1,Übersetzungen!A168,IF(Input!$K$81=2,Übersetzungen!B168,Übersetzungen!C168))</f>
        <v>Versichertes Einkommen (Sparen) in CHF</v>
      </c>
    </row>
    <row r="169" spans="1:4" x14ac:dyDescent="0.25">
      <c r="A169" s="1156" t="s">
        <v>2888</v>
      </c>
      <c r="B169" s="1156" t="s">
        <v>2889</v>
      </c>
      <c r="C169" s="1156" t="s">
        <v>2890</v>
      </c>
      <c r="D169" s="1154" t="str">
        <f>IF(Input!$K$81=1,Übersetzungen!A169,IF(Input!$K$81=2,Übersetzungen!B169,Übersetzungen!C169))</f>
        <v>Versichertes Einkommen (Risiko) in CHF</v>
      </c>
    </row>
    <row r="170" spans="1:4" x14ac:dyDescent="0.25">
      <c r="A170" s="1154" t="s">
        <v>2891</v>
      </c>
      <c r="B170" s="1154" t="s">
        <v>2892</v>
      </c>
      <c r="C170" s="1154" t="s">
        <v>2893</v>
      </c>
      <c r="D170" s="1154" t="str">
        <f>IF(Input!$K$81=1,Übersetzungen!A170,IF(Input!$K$81=2,Übersetzungen!B170,Übersetzungen!C170))</f>
        <v>Personenkreis / Plannummer / LBI</v>
      </c>
    </row>
    <row r="171" spans="1:4" x14ac:dyDescent="0.25">
      <c r="A171" s="1154" t="s">
        <v>3718</v>
      </c>
      <c r="B171" s="1154" t="s">
        <v>3719</v>
      </c>
      <c r="C171" s="1154" t="s">
        <v>3720</v>
      </c>
      <c r="D171" s="1154" t="str">
        <f>IF(Input!$K$81=1,Übersetzungen!A171,IF(Input!$K$81=2,Übersetzungen!B171,Übersetzungen!C171))</f>
        <v>VERSICHERTE LEISTUNGEN</v>
      </c>
    </row>
    <row r="172" spans="1:4" x14ac:dyDescent="0.25">
      <c r="A172" s="1154" t="s">
        <v>2035</v>
      </c>
      <c r="B172" s="1154" t="s">
        <v>2894</v>
      </c>
      <c r="C172" s="1154" t="s">
        <v>2895</v>
      </c>
      <c r="D172" s="1154" t="str">
        <f>IF(Input!$K$81=1,Übersetzungen!A172,IF(Input!$K$81=2,Übersetzungen!B172,Übersetzungen!C172))</f>
        <v>Voraussichtliche Altersleistungen</v>
      </c>
    </row>
    <row r="173" spans="1:4" x14ac:dyDescent="0.25">
      <c r="A173" s="1154" t="s">
        <v>2039</v>
      </c>
      <c r="B173" s="1154" t="s">
        <v>2896</v>
      </c>
      <c r="C173" s="1154" t="s">
        <v>2897</v>
      </c>
      <c r="D173" s="1154" t="str">
        <f>IF(Input!$K$81=1,Übersetzungen!A173,IF(Input!$K$81=2,Übersetzungen!B173,Übersetzungen!C173))</f>
        <v>Kapital, mit</v>
      </c>
    </row>
    <row r="174" spans="1:4" x14ac:dyDescent="0.25">
      <c r="A174" s="1154" t="s">
        <v>2047</v>
      </c>
      <c r="B174" s="1154" t="s">
        <v>2898</v>
      </c>
      <c r="C174" s="1154" t="s">
        <v>2899</v>
      </c>
      <c r="D174" s="1154" t="str">
        <f>IF(Input!$K$81=1,Übersetzungen!A174,IF(Input!$K$81=2,Übersetzungen!B174,Übersetzungen!C174))</f>
        <v>Proj.-zins*</v>
      </c>
    </row>
    <row r="175" spans="1:4" x14ac:dyDescent="0.25">
      <c r="A175" s="1154" t="s">
        <v>2041</v>
      </c>
      <c r="B175" s="1154" t="s">
        <v>2900</v>
      </c>
      <c r="C175" s="1154" t="s">
        <v>2901</v>
      </c>
      <c r="D175" s="1154" t="str">
        <f>IF(Input!$K$81=1,Übersetzungen!A175,IF(Input!$K$81=2,Übersetzungen!B175,Übersetzungen!C175))</f>
        <v xml:space="preserve">                   Jahresrenten, mit</v>
      </c>
    </row>
    <row r="176" spans="1:4" x14ac:dyDescent="0.25">
      <c r="A176" s="1154" t="s">
        <v>3014</v>
      </c>
      <c r="B176" s="1154" t="s">
        <v>3015</v>
      </c>
      <c r="C176" s="1154" t="s">
        <v>3016</v>
      </c>
      <c r="D176" s="1154" t="str">
        <f>IF(Input!$K$81=1,Übersetzungen!A176,IF(Input!$K$81=2,Übersetzungen!B176,Übersetzungen!C176))</f>
        <v>im Alter 70</v>
      </c>
    </row>
    <row r="177" spans="1:4" x14ac:dyDescent="0.25">
      <c r="A177" s="1154" t="s">
        <v>3017</v>
      </c>
      <c r="B177" s="1154" t="s">
        <v>3018</v>
      </c>
      <c r="C177" s="1154" t="s">
        <v>3019</v>
      </c>
      <c r="D177" s="1154" t="str">
        <f>IF(Input!$K$81=1,Übersetzungen!A177,IF(Input!$K$81=2,Übersetzungen!B177,Übersetzungen!C177))</f>
        <v>im Alter 69</v>
      </c>
    </row>
    <row r="178" spans="1:4" x14ac:dyDescent="0.25">
      <c r="A178" s="1154" t="s">
        <v>3020</v>
      </c>
      <c r="B178" s="1154" t="s">
        <v>3021</v>
      </c>
      <c r="C178" s="1154" t="s">
        <v>3022</v>
      </c>
      <c r="D178" s="1154" t="str">
        <f>IF(Input!$K$81=1,Übersetzungen!A178,IF(Input!$K$81=2,Übersetzungen!B178,Übersetzungen!C178))</f>
        <v>im Alter 68</v>
      </c>
    </row>
    <row r="179" spans="1:4" x14ac:dyDescent="0.25">
      <c r="A179" s="1154" t="s">
        <v>3023</v>
      </c>
      <c r="B179" s="1154" t="s">
        <v>3024</v>
      </c>
      <c r="C179" s="1154" t="s">
        <v>3025</v>
      </c>
      <c r="D179" s="1154" t="str">
        <f>IF(Input!$K$81=1,Übersetzungen!A179,IF(Input!$K$81=2,Übersetzungen!B179,Übersetzungen!C179))</f>
        <v>im Alter 67</v>
      </c>
    </row>
    <row r="180" spans="1:4" x14ac:dyDescent="0.25">
      <c r="A180" s="1154" t="s">
        <v>3026</v>
      </c>
      <c r="B180" s="1154" t="s">
        <v>3027</v>
      </c>
      <c r="C180" s="1154" t="s">
        <v>3028</v>
      </c>
      <c r="D180" s="1154" t="str">
        <f>IF(Input!$K$81=1,Übersetzungen!A180,IF(Input!$K$81=2,Übersetzungen!B180,Übersetzungen!C180))</f>
        <v>im Alter 66</v>
      </c>
    </row>
    <row r="181" spans="1:4" x14ac:dyDescent="0.25">
      <c r="A181" s="1154" t="s">
        <v>2902</v>
      </c>
      <c r="B181" s="1154" t="s">
        <v>3983</v>
      </c>
      <c r="C181" s="1154" t="s">
        <v>3984</v>
      </c>
      <c r="D181" s="1154" t="str">
        <f>IF(Input!$K$81=1,Übersetzungen!A181,IF(Input!$K$81=2,Übersetzungen!B181,Übersetzungen!C181))</f>
        <v>im Alter 65</v>
      </c>
    </row>
    <row r="182" spans="1:4" x14ac:dyDescent="0.25">
      <c r="A182" s="1154" t="s">
        <v>3968</v>
      </c>
      <c r="B182" s="1154" t="s">
        <v>3969</v>
      </c>
      <c r="C182" s="1154" t="s">
        <v>3970</v>
      </c>
      <c r="D182" s="1154" t="str">
        <f>IF(Input!$K$81=1,Übersetzungen!A182,IF(Input!$K$81=2,Übersetzungen!B182,Übersetzungen!C182))</f>
        <v>im AHV-Referenzalter</v>
      </c>
    </row>
    <row r="183" spans="1:4" x14ac:dyDescent="0.25">
      <c r="A183" s="1154" t="s">
        <v>2903</v>
      </c>
      <c r="B183" s="1154" t="s">
        <v>2904</v>
      </c>
      <c r="C183" s="1154" t="s">
        <v>2905</v>
      </c>
      <c r="D183" s="1154" t="str">
        <f>IF(Input!$K$81=1,Übersetzungen!A183,IF(Input!$K$81=2,Übersetzungen!B183,Übersetzungen!C183))</f>
        <v>im Alter 64</v>
      </c>
    </row>
    <row r="184" spans="1:4" x14ac:dyDescent="0.25">
      <c r="A184" s="1154" t="s">
        <v>2906</v>
      </c>
      <c r="B184" s="1154" t="s">
        <v>2907</v>
      </c>
      <c r="C184" s="1154" t="s">
        <v>2908</v>
      </c>
      <c r="D184" s="1154" t="str">
        <f>IF(Input!$K$81=1,Übersetzungen!A184,IF(Input!$K$81=2,Übersetzungen!B184,Übersetzungen!C184))</f>
        <v>im Alter 63</v>
      </c>
    </row>
    <row r="185" spans="1:4" x14ac:dyDescent="0.25">
      <c r="A185" s="1154" t="s">
        <v>2969</v>
      </c>
      <c r="B185" s="1154" t="s">
        <v>2970</v>
      </c>
      <c r="C185" s="1154" t="s">
        <v>2971</v>
      </c>
      <c r="D185" s="1154" t="str">
        <f>IF(Input!$K$81=1,Übersetzungen!A185,IF(Input!$K$81=2,Übersetzungen!B185,Übersetzungen!C185))</f>
        <v>im Alter 62</v>
      </c>
    </row>
    <row r="186" spans="1:4" x14ac:dyDescent="0.25">
      <c r="A186" s="1154" t="s">
        <v>3008</v>
      </c>
      <c r="B186" s="1154" t="s">
        <v>3009</v>
      </c>
      <c r="C186" s="1154" t="s">
        <v>3010</v>
      </c>
      <c r="D186" s="1154" t="str">
        <f>IF(Input!$K$81=1,Übersetzungen!A186,IF(Input!$K$81=2,Übersetzungen!B186,Übersetzungen!C186))</f>
        <v>im Alter 61</v>
      </c>
    </row>
    <row r="187" spans="1:4" x14ac:dyDescent="0.25">
      <c r="A187" s="1154" t="s">
        <v>2036</v>
      </c>
      <c r="B187" s="1154" t="s">
        <v>2909</v>
      </c>
      <c r="C187" s="1154" t="s">
        <v>2910</v>
      </c>
      <c r="D187" s="1154" t="str">
        <f>IF(Input!$K$81=1,Übersetzungen!A187,IF(Input!$K$81=2,Übersetzungen!B187,Übersetzungen!C187))</f>
        <v>im Alter 60</v>
      </c>
    </row>
    <row r="188" spans="1:4" x14ac:dyDescent="0.25">
      <c r="A188" s="1154" t="s">
        <v>3011</v>
      </c>
      <c r="B188" s="1154" t="s">
        <v>3012</v>
      </c>
      <c r="C188" s="1154" t="s">
        <v>3013</v>
      </c>
      <c r="D188" s="1154" t="str">
        <f>IF(Input!$K$81=1,Übersetzungen!A188,IF(Input!$K$81=2,Übersetzungen!B188,Übersetzungen!C188))</f>
        <v>im Alter 59</v>
      </c>
    </row>
    <row r="189" spans="1:4" x14ac:dyDescent="0.25">
      <c r="A189" s="1154" t="s">
        <v>2037</v>
      </c>
      <c r="B189" s="1154" t="s">
        <v>2911</v>
      </c>
      <c r="C189" s="1154" t="s">
        <v>2912</v>
      </c>
      <c r="D189" s="1154" t="str">
        <f>IF(Input!$K$81=1,Übersetzungen!A189,IF(Input!$K$81=2,Übersetzungen!B189,Übersetzungen!C189))</f>
        <v>im Alter 58</v>
      </c>
    </row>
    <row r="190" spans="1:4" x14ac:dyDescent="0.25">
      <c r="A190" s="1154" t="s">
        <v>2038</v>
      </c>
      <c r="B190" s="1154" t="s">
        <v>2913</v>
      </c>
      <c r="C190" s="1154" t="s">
        <v>2914</v>
      </c>
      <c r="D190" s="1154" t="str">
        <f>IF(Input!$K$81=1,Übersetzungen!A190,IF(Input!$K$81=2,Übersetzungen!B190,Übersetzungen!C190))</f>
        <v>Alterskinderrente (pro Kind) im AHV-Alter</v>
      </c>
    </row>
    <row r="191" spans="1:4" x14ac:dyDescent="0.25">
      <c r="A191" s="1154" t="s">
        <v>2972</v>
      </c>
      <c r="B191" s="1154" t="s">
        <v>2994</v>
      </c>
      <c r="C191" s="1154" t="s">
        <v>2995</v>
      </c>
      <c r="D191" s="1154" t="str">
        <f>IF(Input!$K$81=1,Übersetzungen!A191,IF(Input!$K$81=2,Übersetzungen!B191,Übersetzungen!C191))</f>
        <v xml:space="preserve">Projektionszins: </v>
      </c>
    </row>
    <row r="192" spans="1:4" x14ac:dyDescent="0.25">
      <c r="A192" s="1154" t="s">
        <v>2973</v>
      </c>
      <c r="B192" s="1154" t="s">
        <v>2975</v>
      </c>
      <c r="C192" s="1154" t="s">
        <v>2974</v>
      </c>
      <c r="D192" s="1154" t="str">
        <f>IF(Input!$K$81=1,Übersetzungen!A192,IF(Input!$K$81=2,Übersetzungen!B192,Übersetzungen!C192))</f>
        <v xml:space="preserve">%; ab </v>
      </c>
    </row>
    <row r="193" spans="1:4" x14ac:dyDescent="0.25">
      <c r="A193" s="1154" t="s">
        <v>2976</v>
      </c>
      <c r="B193" s="1154" t="s">
        <v>2977</v>
      </c>
      <c r="C193" s="1154" t="s">
        <v>2978</v>
      </c>
      <c r="D193" s="1154" t="str">
        <f>IF(Input!$K$81=1,Übersetzungen!A193,IF(Input!$K$81=2,Übersetzungen!B193,Übersetzungen!C193))</f>
        <v xml:space="preserve">; ab </v>
      </c>
    </row>
    <row r="194" spans="1:4" x14ac:dyDescent="0.25">
      <c r="A194" s="1154" t="s">
        <v>2979</v>
      </c>
      <c r="B194" s="1163" t="s">
        <v>3169</v>
      </c>
      <c r="C194" s="1163" t="s">
        <v>3157</v>
      </c>
      <c r="D194" s="1154" t="str">
        <f>IF(Input!$K$81=1,Übersetzungen!A194,IF(Input!$K$81=2,Übersetzungen!B194,Übersetzungen!C194))</f>
        <v xml:space="preserve">(offizieller Satz PAT-BVG: </v>
      </c>
    </row>
    <row r="195" spans="1:4" x14ac:dyDescent="0.25">
      <c r="A195" s="1154" t="s">
        <v>2957</v>
      </c>
      <c r="B195" s="1154" t="s">
        <v>2958</v>
      </c>
      <c r="C195" s="1154" t="s">
        <v>2959</v>
      </c>
      <c r="D195" s="1154" t="str">
        <f>IF(Input!$K$81=1,Übersetzungen!A195,IF(Input!$K$81=2,Übersetzungen!B195,Übersetzungen!C195))</f>
        <v>Invalidenrente nach einer Wartefrist von 720 Tagen</v>
      </c>
    </row>
    <row r="196" spans="1:4" x14ac:dyDescent="0.25">
      <c r="A196" s="1154" t="s">
        <v>2980</v>
      </c>
      <c r="B196" s="1154" t="s">
        <v>2981</v>
      </c>
      <c r="C196" s="1154" t="s">
        <v>2982</v>
      </c>
      <c r="D196" s="1154" t="str">
        <f>IF(Input!$K$81=1,Übersetzungen!A196,IF(Input!$K$81=2,Übersetzungen!B196,Übersetzungen!C196))</f>
        <v>Invalidenrente nach einer Wartefrist von 360 Tagen</v>
      </c>
    </row>
    <row r="197" spans="1:4" x14ac:dyDescent="0.25">
      <c r="A197" s="1154" t="s">
        <v>2043</v>
      </c>
      <c r="B197" s="1154" t="s">
        <v>2915</v>
      </c>
      <c r="C197" s="1154" t="s">
        <v>2916</v>
      </c>
      <c r="D197" s="1154" t="str">
        <f>IF(Input!$K$81=1,Übersetzungen!A197,IF(Input!$K$81=2,Übersetzungen!B197,Übersetzungen!C197))</f>
        <v>Hinterbliebenenrente im Todesfall</v>
      </c>
    </row>
    <row r="198" spans="1:4" x14ac:dyDescent="0.25">
      <c r="A198" s="1154" t="s">
        <v>2044</v>
      </c>
      <c r="B198" s="1154" t="s">
        <v>2917</v>
      </c>
      <c r="C198" s="1154" t="s">
        <v>2918</v>
      </c>
      <c r="D198" s="1154" t="str">
        <f>IF(Input!$K$81=1,Übersetzungen!A198,IF(Input!$K$81=2,Übersetzungen!B198,Übersetzungen!C198))</f>
        <v>Kinderrente bei Invalidität oder Tod (pro Kind)</v>
      </c>
    </row>
    <row r="199" spans="1:4" x14ac:dyDescent="0.25">
      <c r="A199" s="1154" t="s">
        <v>2919</v>
      </c>
      <c r="B199" s="1154" t="s">
        <v>2920</v>
      </c>
      <c r="C199" s="1154" t="s">
        <v>2921</v>
      </c>
      <c r="D199" s="1154" t="str">
        <f>IF(Input!$K$81=1,Übersetzungen!A199,IF(Input!$K$81=2,Übersetzungen!B199,Übersetzungen!C199))</f>
        <v>Reglementarisches Todesfallkapital</v>
      </c>
    </row>
    <row r="200" spans="1:4" x14ac:dyDescent="0.25">
      <c r="A200" s="1154" t="s">
        <v>1426</v>
      </c>
      <c r="B200" s="1154" t="s">
        <v>2922</v>
      </c>
      <c r="C200" s="1154" t="s">
        <v>2923</v>
      </c>
      <c r="D200" s="1154" t="str">
        <f>IF(Input!$K$81=1,Übersetzungen!A200,IF(Input!$K$81=2,Übersetzungen!B200,Übersetzungen!C200))</f>
        <v>Zusätzliches Todesfallkapital</v>
      </c>
    </row>
    <row r="201" spans="1:4" x14ac:dyDescent="0.25">
      <c r="A201" s="1154" t="s">
        <v>3724</v>
      </c>
      <c r="B201" s="1156" t="s">
        <v>2702</v>
      </c>
      <c r="C201" s="1156" t="s">
        <v>2703</v>
      </c>
      <c r="D201" s="1154" t="str">
        <f>IF(Input!$K$81=1,Übersetzungen!A201,IF(Input!$K$81=2,Übersetzungen!B201,Übersetzungen!C201))</f>
        <v>vorhandenes Altersguthaben</v>
      </c>
    </row>
    <row r="202" spans="1:4" x14ac:dyDescent="0.25">
      <c r="A202" s="1154" t="s">
        <v>2924</v>
      </c>
      <c r="B202" s="1154" t="s">
        <v>2925</v>
      </c>
      <c r="C202" s="1154" t="s">
        <v>2926</v>
      </c>
      <c r="D202" s="1154" t="str">
        <f>IF(Input!$K$81=1,Übersetzungen!A202,IF(Input!$K$81=2,Übersetzungen!B202,Übersetzungen!C202))</f>
        <v>Prämienbefreiung nach einer Wartefrist von 6 Monaten; Befreiung gemäss BVG.</v>
      </c>
    </row>
    <row r="203" spans="1:4" x14ac:dyDescent="0.25">
      <c r="A203" s="1154" t="s">
        <v>2927</v>
      </c>
      <c r="B203" s="1154" t="s">
        <v>2928</v>
      </c>
      <c r="C203" s="1154" t="s">
        <v>2929</v>
      </c>
      <c r="D203" s="1154" t="str">
        <f>IF(Input!$K$81=1,Übersetzungen!A203,IF(Input!$K$81=2,Übersetzungen!B203,Übersetzungen!C203))</f>
        <v>Prämienbefreiung nach einer Wartefrist von 6 Monaten; Befreiung gemäss Plan.</v>
      </c>
    </row>
    <row r="204" spans="1:4" x14ac:dyDescent="0.25">
      <c r="A204" s="1154" t="s">
        <v>2042</v>
      </c>
      <c r="B204" s="1154" t="s">
        <v>2930</v>
      </c>
      <c r="C204" s="1154" t="s">
        <v>2931</v>
      </c>
      <c r="D204" s="1154" t="str">
        <f>IF(Input!$K$81=1,Übersetzungen!A204,IF(Input!$K$81=2,Übersetzungen!B204,Übersetzungen!C204))</f>
        <v>Jahresrenten</v>
      </c>
    </row>
    <row r="205" spans="1:4" x14ac:dyDescent="0.25">
      <c r="A205" s="1154" t="s">
        <v>2040</v>
      </c>
      <c r="B205" s="1154" t="s">
        <v>2562</v>
      </c>
      <c r="C205" s="1154" t="s">
        <v>2932</v>
      </c>
      <c r="D205" s="1154" t="str">
        <f>IF(Input!$K$81=1,Übersetzungen!A205,IF(Input!$K$81=2,Übersetzungen!B205,Übersetzungen!C205))</f>
        <v>Risikoleistungen</v>
      </c>
    </row>
    <row r="206" spans="1:4" x14ac:dyDescent="0.25">
      <c r="A206" s="1154" t="s">
        <v>2032</v>
      </c>
      <c r="B206" s="1154" t="s">
        <v>2933</v>
      </c>
      <c r="C206" s="1154" t="s">
        <v>2934</v>
      </c>
      <c r="D206" s="1154" t="str">
        <f>IF(Input!$K$81=1,Übersetzungen!A206,IF(Input!$K$81=2,Übersetzungen!B206,Übersetzungen!C206))</f>
        <v>JAHRESBEITRÄGE IN CHF</v>
      </c>
    </row>
    <row r="207" spans="1:4" x14ac:dyDescent="0.25">
      <c r="A207" s="1154" t="s">
        <v>2045</v>
      </c>
      <c r="B207" s="1154" t="s">
        <v>2935</v>
      </c>
      <c r="C207" s="1154" t="s">
        <v>2936</v>
      </c>
      <c r="D207" s="1154" t="str">
        <f>IF(Input!$K$81=1,Übersetzungen!A207,IF(Input!$K$81=2,Übersetzungen!B207,Übersetzungen!C207))</f>
        <v>Beitragsart</v>
      </c>
    </row>
    <row r="208" spans="1:4" x14ac:dyDescent="0.25">
      <c r="A208" s="1154" t="s">
        <v>2052</v>
      </c>
      <c r="B208" s="1154" t="s">
        <v>2937</v>
      </c>
      <c r="C208" s="1154" t="s">
        <v>2577</v>
      </c>
      <c r="D208" s="1154" t="str">
        <f>IF(Input!$K$81=1,Übersetzungen!A208,IF(Input!$K$81=2,Übersetzungen!B208,Übersetzungen!C208))</f>
        <v>Sparen</v>
      </c>
    </row>
    <row r="209" spans="1:4" x14ac:dyDescent="0.25">
      <c r="A209" s="1154" t="s">
        <v>2040</v>
      </c>
      <c r="B209" s="1154" t="s">
        <v>2938</v>
      </c>
      <c r="C209" s="1154" t="s">
        <v>2632</v>
      </c>
      <c r="D209" s="1154" t="str">
        <f>IF(Input!$K$81=1,Übersetzungen!A209,IF(Input!$K$81=2,Übersetzungen!B209,Übersetzungen!C209))</f>
        <v>Risikoleistungen</v>
      </c>
    </row>
    <row r="210" spans="1:4" x14ac:dyDescent="0.25">
      <c r="A210" s="1154" t="s">
        <v>2053</v>
      </c>
      <c r="B210" s="1154" t="s">
        <v>2939</v>
      </c>
      <c r="C210" s="1154" t="s">
        <v>2940</v>
      </c>
      <c r="D210" s="1154" t="str">
        <f>IF(Input!$K$81=1,Übersetzungen!A210,IF(Input!$K$81=2,Übersetzungen!B210,Übersetzungen!C210))</f>
        <v>Verwaltungskostenbeitrag</v>
      </c>
    </row>
    <row r="211" spans="1:4" x14ac:dyDescent="0.25">
      <c r="A211" s="1154" t="s">
        <v>2054</v>
      </c>
      <c r="B211" s="1154" t="s">
        <v>2941</v>
      </c>
      <c r="C211" s="1154" t="s">
        <v>2942</v>
      </c>
      <c r="D211" s="1154" t="str">
        <f>IF(Input!$K$81=1,Übersetzungen!A211,IF(Input!$K$81=2,Übersetzungen!B211,Übersetzungen!C211))</f>
        <v>Total jährliche Beiträge</v>
      </c>
    </row>
    <row r="212" spans="1:4" x14ac:dyDescent="0.25">
      <c r="A212" s="1154" t="s">
        <v>2943</v>
      </c>
      <c r="B212" s="1154" t="s">
        <v>2944</v>
      </c>
      <c r="C212" s="1154" t="s">
        <v>2945</v>
      </c>
      <c r="D212" s="1154" t="str">
        <f>IF(Input!$K$81=1,Übersetzungen!A212,IF(Input!$K$81=2,Übersetzungen!B212,Übersetzungen!C212))</f>
        <v>Monatlicher Lohnabzug Arbeitnehmer (12 Monatsabzüge)</v>
      </c>
    </row>
    <row r="213" spans="1:4" x14ac:dyDescent="0.25">
      <c r="A213" s="1154" t="s">
        <v>2983</v>
      </c>
      <c r="B213" s="1163" t="s">
        <v>3170</v>
      </c>
      <c r="C213" s="1163" t="s">
        <v>3158</v>
      </c>
      <c r="D213" s="1154" t="str">
        <f>IF(Input!$K$81=1,Übersetzungen!A213,IF(Input!$K$81=2,Übersetzungen!B213,Übersetzungen!C213))</f>
        <v>pro Quartal</v>
      </c>
    </row>
    <row r="214" spans="1:4" x14ac:dyDescent="0.25">
      <c r="A214" s="1154" t="s">
        <v>1022</v>
      </c>
      <c r="B214" s="1154" t="s">
        <v>1022</v>
      </c>
      <c r="C214" s="1154" t="s">
        <v>2946</v>
      </c>
      <c r="D214" s="1154" t="str">
        <f>IF(Input!$K$81=1,Übersetzungen!A214,IF(Input!$K$81=2,Übersetzungen!B214,Übersetzungen!C214))</f>
        <v>Total</v>
      </c>
    </row>
    <row r="215" spans="1:4" x14ac:dyDescent="0.25">
      <c r="A215" s="1154" t="s">
        <v>723</v>
      </c>
      <c r="B215" s="1154" t="s">
        <v>2947</v>
      </c>
      <c r="C215" s="1154" t="s">
        <v>2534</v>
      </c>
      <c r="D215" s="1154" t="str">
        <f>IF(Input!$K$81=1,Übersetzungen!A215,IF(Input!$K$81=2,Übersetzungen!B215,Übersetzungen!C215))</f>
        <v>Arbeitgeber</v>
      </c>
    </row>
    <row r="216" spans="1:4" x14ac:dyDescent="0.25">
      <c r="A216" s="1154" t="s">
        <v>722</v>
      </c>
      <c r="B216" s="1154" t="s">
        <v>2948</v>
      </c>
      <c r="C216" s="1154" t="s">
        <v>2949</v>
      </c>
      <c r="D216" s="1154" t="str">
        <f>IF(Input!$K$81=1,Übersetzungen!A216,IF(Input!$K$81=2,Übersetzungen!B216,Übersetzungen!C216))</f>
        <v>Arbeitnehmer</v>
      </c>
    </row>
    <row r="217" spans="1:4" x14ac:dyDescent="0.25">
      <c r="A217" s="1154" t="s">
        <v>2033</v>
      </c>
      <c r="B217" s="1154" t="s">
        <v>2950</v>
      </c>
      <c r="C217" s="1154" t="s">
        <v>2951</v>
      </c>
      <c r="D217" s="1154" t="str">
        <f>IF(Input!$K$81=1,Übersetzungen!A217,IF(Input!$K$81=2,Übersetzungen!B217,Übersetzungen!C217))</f>
        <v>DIVERSE ANGABEN IN CHF</v>
      </c>
    </row>
    <row r="218" spans="1:4" x14ac:dyDescent="0.25">
      <c r="A218" s="1154" t="s">
        <v>2984</v>
      </c>
      <c r="B218" s="1156" t="s">
        <v>2985</v>
      </c>
      <c r="C218" s="1156" t="s">
        <v>2986</v>
      </c>
      <c r="D218" s="1154" t="str">
        <f>IF(Input!$K$81=1,Übersetzungen!A218,IF(Input!$K$81=2,Übersetzungen!B218,Übersetzungen!C218))</f>
        <v xml:space="preserve">Vorhandenes Sparguthaben per </v>
      </c>
    </row>
    <row r="219" spans="1:4" x14ac:dyDescent="0.25">
      <c r="A219" s="1154" t="s">
        <v>2987</v>
      </c>
      <c r="B219" s="1164" t="s">
        <v>2988</v>
      </c>
      <c r="C219" s="1156" t="s">
        <v>2989</v>
      </c>
      <c r="D219" s="1154" t="str">
        <f>IF(Input!$K$81=1,Übersetzungen!A219,IF(Input!$K$81=2,Übersetzungen!B219,Übersetzungen!C219))</f>
        <v xml:space="preserve">davon gemäss BVG per </v>
      </c>
    </row>
    <row r="220" spans="1:4" x14ac:dyDescent="0.25">
      <c r="A220" s="1154" t="s">
        <v>2952</v>
      </c>
      <c r="B220" s="1163" t="s">
        <v>2953</v>
      </c>
      <c r="C220" s="1154" t="s">
        <v>2954</v>
      </c>
      <c r="D220" s="1154" t="str">
        <f>IF(Input!$K$81=1,Übersetzungen!A220,IF(Input!$K$81=2,Übersetzungen!B220,Übersetzungen!C220))</f>
        <v>Mögliche Einkaufssumme</v>
      </c>
    </row>
    <row r="221" spans="1:4" x14ac:dyDescent="0.25">
      <c r="A221" s="1154" t="s">
        <v>2990</v>
      </c>
      <c r="B221" s="1163" t="s">
        <v>3171</v>
      </c>
      <c r="C221" s="1163" t="s">
        <v>3159</v>
      </c>
      <c r="D221" s="1154" t="str">
        <f>IF(Input!$K$81=1,Übersetzungen!A221,IF(Input!$K$81=2,Übersetzungen!B221,Übersetzungen!C221))</f>
        <v>(bitte mit Steuerbehörde abklären!)</v>
      </c>
    </row>
    <row r="222" spans="1:4" x14ac:dyDescent="0.25">
      <c r="A222" s="1154" t="s">
        <v>3947</v>
      </c>
      <c r="B222" s="1163" t="s">
        <v>3948</v>
      </c>
      <c r="C222" s="1154" t="s">
        <v>3949</v>
      </c>
      <c r="D222" s="1154" t="str">
        <f>IF(Input!$K$81=1,Übersetzungen!A222,IF(Input!$K$81=2,Übersetzungen!B222,Übersetzungen!C222))</f>
        <v>Diese Offerte wurde nach dem ab 1.1.2023 gültigen Vorsorgereglement erstellt.</v>
      </c>
    </row>
    <row r="223" spans="1:4" x14ac:dyDescent="0.25">
      <c r="A223" s="1154" t="s">
        <v>1153</v>
      </c>
      <c r="B223" s="1163" t="s">
        <v>2955</v>
      </c>
      <c r="C223" s="1154" t="s">
        <v>2956</v>
      </c>
      <c r="D223" s="1154" t="str">
        <f>IF(Input!$K$81=1,Übersetzungen!A223,IF(Input!$K$81=2,Übersetzungen!B223,Übersetzungen!C223))</f>
        <v>Vorbehalten bleiben Änderungen des versicherten Lohnes, des Reglements oder der Gesetze.</v>
      </c>
    </row>
    <row r="224" spans="1:4" x14ac:dyDescent="0.25">
      <c r="A224" s="1154" t="s">
        <v>1152</v>
      </c>
      <c r="B224" s="1163" t="s">
        <v>3818</v>
      </c>
      <c r="C224" s="1154" t="s">
        <v>3817</v>
      </c>
      <c r="D224" s="1154" t="str">
        <f>IF(Input!$K$81=1,Übersetzungen!A224,IF(Input!$K$81=2,Übersetzungen!B224,Übersetzungen!C224))</f>
        <v>Verbindlich sind nur die Berechnungen durch die PAT-BVG.</v>
      </c>
    </row>
    <row r="225" spans="1:4" x14ac:dyDescent="0.25">
      <c r="A225" s="1154" t="s">
        <v>698</v>
      </c>
      <c r="B225" s="1163" t="s">
        <v>3815</v>
      </c>
      <c r="C225" s="1154" t="s">
        <v>3816</v>
      </c>
      <c r="D225" s="1154" t="str">
        <f>IF(Input!$K$81=1,Übersetzungen!A225,IF(Input!$K$81=2,Übersetzungen!B225,Übersetzungen!C225))</f>
        <v>Die Risikobeurteilung und die definitive Aufnahmebestätigung erfolgen ausschliesslich durch die PAT-BVG.</v>
      </c>
    </row>
    <row r="226" spans="1:4" x14ac:dyDescent="0.25">
      <c r="A226" s="1159" t="s">
        <v>3754</v>
      </c>
      <c r="B226" s="1163"/>
      <c r="D226" s="1154" t="str">
        <f>IF(Input!$K$81=1,Übersetzungen!A226,IF(Input!$K$81=2,Übersetzungen!B226,Übersetzungen!C226))</f>
        <v/>
      </c>
    </row>
    <row r="227" spans="1:4" x14ac:dyDescent="0.25">
      <c r="A227" s="1154" t="s">
        <v>2992</v>
      </c>
      <c r="B227" s="1163" t="s">
        <v>2991</v>
      </c>
      <c r="C227" s="1154" t="s">
        <v>2993</v>
      </c>
      <c r="D227" s="1154" t="str">
        <f>IF(Input!$K$81=1,Übersetzungen!A227,IF(Input!$K$81=2,Übersetzungen!B227,Übersetzungen!C227))</f>
        <v xml:space="preserve">Erstellt am </v>
      </c>
    </row>
    <row r="228" spans="1:4" x14ac:dyDescent="0.25">
      <c r="A228" s="1156" t="s">
        <v>3001</v>
      </c>
      <c r="B228" s="1163" t="s">
        <v>3002</v>
      </c>
      <c r="C228" s="1163" t="s">
        <v>3160</v>
      </c>
      <c r="D228" s="1154" t="str">
        <f>IF(Input!$K$81=1,Übersetzungen!A228,IF(Input!$K$81=2,Übersetzungen!B228,Übersetzungen!C228))</f>
        <v xml:space="preserve">Erstellt durch </v>
      </c>
    </row>
    <row r="229" spans="1:4" x14ac:dyDescent="0.25">
      <c r="A229" s="1154" t="s">
        <v>2996</v>
      </c>
      <c r="B229" s="1163" t="s">
        <v>2997</v>
      </c>
      <c r="C229" s="1163" t="s">
        <v>2998</v>
      </c>
      <c r="D229" s="1154" t="str">
        <f>IF(Input!$K$81=1,Übersetzungen!A229,IF(Input!$K$81=2,Übersetzungen!B229,Übersetzungen!C229))</f>
        <v xml:space="preserve"> am </v>
      </c>
    </row>
    <row r="230" spans="1:4" x14ac:dyDescent="0.25">
      <c r="A230" s="1154" t="s">
        <v>2999</v>
      </c>
      <c r="B230" s="1163" t="s">
        <v>3000</v>
      </c>
      <c r="C230" s="1163" t="s">
        <v>3161</v>
      </c>
      <c r="D230" s="1154" t="str">
        <f>IF(Input!$K$81=1,Übersetzungen!A230,IF(Input!$K$81=2,Übersetzungen!B230,Übersetzungen!C230))</f>
        <v xml:space="preserve">Für Sie zuständig: </v>
      </c>
    </row>
    <row r="231" spans="1:4" x14ac:dyDescent="0.25">
      <c r="B231" s="1163"/>
      <c r="C231" s="1163"/>
    </row>
    <row r="234" spans="1:4" ht="21" x14ac:dyDescent="0.4">
      <c r="A234" s="1153" t="s">
        <v>3003</v>
      </c>
    </row>
    <row r="236" spans="1:4" x14ac:dyDescent="0.25">
      <c r="A236" s="1154" t="s">
        <v>1974</v>
      </c>
      <c r="B236" s="1154" t="s">
        <v>3402</v>
      </c>
      <c r="C236" s="1154" t="s">
        <v>3403</v>
      </c>
      <c r="D236" s="1154" t="str">
        <f>IF(Input!$K$81=1,Übersetzungen!A236,IF(Input!$K$81=2,Übersetzungen!B236,Übersetzungen!C236))</f>
        <v>Zusatzblatt zum Versicherungsausweis</v>
      </c>
    </row>
    <row r="237" spans="1:4" x14ac:dyDescent="0.25">
      <c r="A237" s="1154" t="s">
        <v>3004</v>
      </c>
      <c r="B237" s="1154" t="s">
        <v>3005</v>
      </c>
      <c r="C237" s="1154" t="s">
        <v>3162</v>
      </c>
      <c r="D237" s="1154" t="str">
        <f>IF(Input!$K$81=1,Übersetzungen!A237,IF(Input!$K$81=2,Übersetzungen!B237,Übersetzungen!C237))</f>
        <v>Plan Nr.</v>
      </c>
    </row>
    <row r="238" spans="1:4" x14ac:dyDescent="0.25">
      <c r="A238" s="1154" t="s">
        <v>1796</v>
      </c>
      <c r="B238" s="1154" t="s">
        <v>3006</v>
      </c>
      <c r="C238" s="1163" t="s">
        <v>3163</v>
      </c>
      <c r="D238" s="1154" t="str">
        <f>IF(Input!$K$81=1,Übersetzungen!A238,IF(Input!$K$81=2,Übersetzungen!B238,Übersetzungen!C238))</f>
        <v>Pers.-Kreis</v>
      </c>
    </row>
    <row r="239" spans="1:4" x14ac:dyDescent="0.25">
      <c r="A239" s="1154" t="s">
        <v>1972</v>
      </c>
      <c r="B239" s="1154" t="s">
        <v>3007</v>
      </c>
      <c r="C239" s="1163" t="s">
        <v>2879</v>
      </c>
      <c r="D239" s="1154" t="str">
        <f>IF(Input!$K$81=1,Übersetzungen!A239,IF(Input!$K$81=2,Übersetzungen!B239,Übersetzungen!C239))</f>
        <v>Rücktrittsalter</v>
      </c>
    </row>
    <row r="240" spans="1:4" x14ac:dyDescent="0.25">
      <c r="A240" s="1154" t="s">
        <v>1141</v>
      </c>
      <c r="B240" s="1154" t="s">
        <v>3029</v>
      </c>
      <c r="C240" s="1163" t="s">
        <v>3164</v>
      </c>
      <c r="D240" s="1154" t="str">
        <f>IF(Input!$K$81=1,Übersetzungen!A240,IF(Input!$K$81=2,Übersetzungen!B240,Übersetzungen!C240))</f>
        <v>Alterskapital</v>
      </c>
    </row>
    <row r="241" spans="1:4" x14ac:dyDescent="0.25">
      <c r="A241" s="1154" t="s">
        <v>1142</v>
      </c>
      <c r="B241" s="1154" t="s">
        <v>3030</v>
      </c>
      <c r="C241" s="1163" t="s">
        <v>3165</v>
      </c>
      <c r="D241" s="1154" t="str">
        <f>IF(Input!$K$81=1,Übersetzungen!A241,IF(Input!$K$81=2,Übersetzungen!B241,Übersetzungen!C241))</f>
        <v>oder Jahresrente</v>
      </c>
    </row>
    <row r="242" spans="1:4" x14ac:dyDescent="0.25">
      <c r="A242" s="1159" t="s">
        <v>1973</v>
      </c>
      <c r="B242" s="1159" t="s">
        <v>3031</v>
      </c>
      <c r="C242" s="1165" t="s">
        <v>3166</v>
      </c>
      <c r="D242" s="1154" t="str">
        <f>IF(Input!$K$81=1,Übersetzungen!A242,IF(Input!$K$81=2,Übersetzungen!B242,Übersetzungen!C242))</f>
        <v>= Monatsrente</v>
      </c>
    </row>
    <row r="243" spans="1:4" x14ac:dyDescent="0.25">
      <c r="C243" s="1163"/>
    </row>
    <row r="244" spans="1:4" x14ac:dyDescent="0.25">
      <c r="C244" s="1163"/>
    </row>
    <row r="249" spans="1:4" ht="21" x14ac:dyDescent="0.4">
      <c r="A249" s="1153" t="s">
        <v>3032</v>
      </c>
    </row>
    <row r="251" spans="1:4" x14ac:dyDescent="0.25">
      <c r="A251" s="1154" t="s">
        <v>1163</v>
      </c>
      <c r="B251" s="1154" t="s">
        <v>3041</v>
      </c>
      <c r="C251" s="1154" t="s">
        <v>3077</v>
      </c>
      <c r="D251" s="1154" t="str">
        <f>IF(Input!$K$81=1,Übersetzungen!A251,IF(Input!$K$81=2,Übersetzungen!B251,Übersetzungen!C251))</f>
        <v>GRUNDDATEN</v>
      </c>
    </row>
    <row r="252" spans="1:4" x14ac:dyDescent="0.25">
      <c r="A252" s="1154" t="s">
        <v>1231</v>
      </c>
      <c r="B252" s="1154" t="s">
        <v>3042</v>
      </c>
      <c r="C252" s="1154" t="s">
        <v>3078</v>
      </c>
      <c r="D252" s="1154" t="str">
        <f>IF(Input!$K$81=1,Übersetzungen!A252,IF(Input!$K$81=2,Übersetzungen!B252,Übersetzungen!C252))</f>
        <v>Bezeichnung (Andruck auf Outputs)</v>
      </c>
    </row>
    <row r="253" spans="1:4" x14ac:dyDescent="0.25">
      <c r="A253" s="1154" t="s">
        <v>1221</v>
      </c>
      <c r="B253" s="1154" t="s">
        <v>3043</v>
      </c>
      <c r="C253" s="1154" t="s">
        <v>3079</v>
      </c>
      <c r="D253" s="1154" t="str">
        <f>IF(Input!$K$81=1,Übersetzungen!A253,IF(Input!$K$81=2,Übersetzungen!B253,Übersetzungen!C253))</f>
        <v>Titel</v>
      </c>
    </row>
    <row r="254" spans="1:4" x14ac:dyDescent="0.25">
      <c r="A254" s="1154" t="s">
        <v>991</v>
      </c>
      <c r="B254" s="1154" t="s">
        <v>3044</v>
      </c>
      <c r="C254" s="1154" t="s">
        <v>3080</v>
      </c>
      <c r="D254" s="1154" t="str">
        <f>IF(Input!$K$81=1,Übersetzungen!A254,IF(Input!$K$81=2,Übersetzungen!B254,Übersetzungen!C254))</f>
        <v>Name</v>
      </c>
    </row>
    <row r="255" spans="1:4" x14ac:dyDescent="0.25">
      <c r="A255" s="1154" t="s">
        <v>1220</v>
      </c>
      <c r="B255" s="1154" t="s">
        <v>3045</v>
      </c>
      <c r="C255" s="1154" t="s">
        <v>3081</v>
      </c>
      <c r="D255" s="1154" t="str">
        <f>IF(Input!$K$81=1,Übersetzungen!A255,IF(Input!$K$81=2,Übersetzungen!B255,Übersetzungen!C255))</f>
        <v>Vorname</v>
      </c>
    </row>
    <row r="256" spans="1:4" x14ac:dyDescent="0.25">
      <c r="A256" s="1154" t="s">
        <v>992</v>
      </c>
      <c r="B256" s="1154" t="s">
        <v>3046</v>
      </c>
      <c r="C256" s="1154" t="s">
        <v>3046</v>
      </c>
      <c r="D256" s="1154" t="str">
        <f>IF(Input!$K$81=1,Übersetzungen!A256,IF(Input!$K$81=2,Übersetzungen!B256,Übersetzungen!C256))</f>
        <v>AHV-Nummer</v>
      </c>
    </row>
    <row r="257" spans="1:4" x14ac:dyDescent="0.25">
      <c r="A257" s="1154" t="s">
        <v>3721</v>
      </c>
      <c r="B257" s="1154" t="s">
        <v>3722</v>
      </c>
      <c r="C257" s="1154" t="s">
        <v>3723</v>
      </c>
      <c r="D257" s="1154" t="str">
        <f>IF(Input!$K$81=1,Übersetzungen!A257,IF(Input!$K$81=2,Übersetzungen!B257,Übersetzungen!C257))</f>
        <v>Geburtsdatum/Alter</v>
      </c>
    </row>
    <row r="258" spans="1:4" x14ac:dyDescent="0.25">
      <c r="A258" s="1154" t="s">
        <v>964</v>
      </c>
      <c r="B258" s="1154" t="s">
        <v>2786</v>
      </c>
      <c r="C258" s="1154" t="s">
        <v>2787</v>
      </c>
      <c r="D258" s="1154" t="str">
        <f>IF(Input!$K$81=1,Übersetzungen!A258,IF(Input!$K$81=2,Übersetzungen!B258,Übersetzungen!C258))</f>
        <v>Geschlecht</v>
      </c>
    </row>
    <row r="259" spans="1:4" x14ac:dyDescent="0.25">
      <c r="A259" s="1154" t="s">
        <v>1137</v>
      </c>
      <c r="B259" s="1154" t="s">
        <v>3047</v>
      </c>
      <c r="C259" s="1154" t="s">
        <v>3082</v>
      </c>
      <c r="D259" s="1154" t="str">
        <f>IF(Input!$K$81=1,Übersetzungen!A259,IF(Input!$K$81=2,Übersetzungen!B259,Übersetzungen!C259))</f>
        <v>Status/Alter bei PAT-Eintritt</v>
      </c>
    </row>
    <row r="260" spans="1:4" x14ac:dyDescent="0.25">
      <c r="A260" s="1154" t="s">
        <v>2164</v>
      </c>
      <c r="B260" s="1154" t="s">
        <v>3048</v>
      </c>
      <c r="C260" s="1154" t="s">
        <v>3083</v>
      </c>
      <c r="D260" s="1154" t="str">
        <f>IF(Input!$K$81=1,Übersetzungen!A260,IF(Input!$K$81=2,Übersetzungen!B260,Übersetzungen!C260))</f>
        <v>Eintrittsjahr in PAT-BVG</v>
      </c>
    </row>
    <row r="261" spans="1:4" x14ac:dyDescent="0.25">
      <c r="A261" s="1154" t="s">
        <v>1368</v>
      </c>
      <c r="B261" s="1154" t="s">
        <v>3049</v>
      </c>
      <c r="C261" s="1154" t="s">
        <v>3084</v>
      </c>
      <c r="D261" s="1154" t="str">
        <f>IF(Input!$K$81=1,Übersetzungen!A261,IF(Input!$K$81=2,Übersetzungen!B261,Übersetzungen!C261))</f>
        <v>Offerte per (Monatserster)</v>
      </c>
    </row>
    <row r="262" spans="1:4" x14ac:dyDescent="0.25">
      <c r="A262" s="1154" t="s">
        <v>1125</v>
      </c>
      <c r="B262" s="1154" t="s">
        <v>3050</v>
      </c>
      <c r="C262" s="1154" t="s">
        <v>3085</v>
      </c>
      <c r="D262" s="1154" t="str">
        <f>IF(Input!$K$81=1,Übersetzungen!A262,IF(Input!$K$81=2,Übersetzungen!B262,Übersetzungen!C262))</f>
        <v>VERSICHERTER LOHN</v>
      </c>
    </row>
    <row r="263" spans="1:4" x14ac:dyDescent="0.25">
      <c r="A263" s="1154" t="s">
        <v>1079</v>
      </c>
      <c r="B263" s="1154" t="s">
        <v>3051</v>
      </c>
      <c r="C263" s="1154" t="s">
        <v>3086</v>
      </c>
      <c r="D263" s="1154" t="str">
        <f>IF(Input!$K$81=1,Übersetzungen!A263,IF(Input!$K$81=2,Übersetzungen!B263,Übersetzungen!C263))</f>
        <v>AHV-pflichtiger Jahreslohn</v>
      </c>
    </row>
    <row r="264" spans="1:4" x14ac:dyDescent="0.25">
      <c r="A264" s="1154" t="s">
        <v>1080</v>
      </c>
      <c r="B264" s="1154" t="s">
        <v>3052</v>
      </c>
      <c r="C264" s="1154" t="s">
        <v>3087</v>
      </c>
      <c r="D264" s="1154" t="str">
        <f>IF(Input!$K$81=1,Übersetzungen!A264,IF(Input!$K$81=2,Übersetzungen!B264,Übersetzungen!C264))</f>
        <v>Lohnmodul</v>
      </c>
    </row>
    <row r="265" spans="1:4" x14ac:dyDescent="0.25">
      <c r="A265" s="1154" t="s">
        <v>1097</v>
      </c>
      <c r="B265" s="1154" t="s">
        <v>2549</v>
      </c>
      <c r="C265" s="1154" t="s">
        <v>2550</v>
      </c>
      <c r="D265" s="1154" t="str">
        <f>IF(Input!$K$81=1,Übersetzungen!A265,IF(Input!$K$81=2,Übersetzungen!B265,Übersetzungen!C265))</f>
        <v>Eintrittsschwelle</v>
      </c>
    </row>
    <row r="266" spans="1:4" x14ac:dyDescent="0.25">
      <c r="A266" s="1154" t="s">
        <v>1133</v>
      </c>
      <c r="B266" s="1154" t="s">
        <v>1133</v>
      </c>
      <c r="C266" s="1154" t="s">
        <v>2551</v>
      </c>
      <c r="D266" s="1154" t="str">
        <f>IF(Input!$K$81=1,Übersetzungen!A266,IF(Input!$K$81=2,Übersetzungen!B266,Übersetzungen!C266))</f>
        <v>Plafond</v>
      </c>
    </row>
    <row r="267" spans="1:4" x14ac:dyDescent="0.25">
      <c r="A267" s="1154" t="s">
        <v>3033</v>
      </c>
      <c r="B267" s="1154" t="s">
        <v>3053</v>
      </c>
      <c r="C267" s="1154" t="s">
        <v>2600</v>
      </c>
      <c r="D267" s="1154" t="str">
        <f>IF(Input!$K$81=1,Übersetzungen!A267,IF(Input!$K$81=2,Übersetzungen!B267,Übersetzungen!C267))</f>
        <v>Beschäftigungsgrad</v>
      </c>
    </row>
    <row r="268" spans="1:4" x14ac:dyDescent="0.25">
      <c r="A268" s="1154" t="s">
        <v>984</v>
      </c>
      <c r="B268" s="1154" t="s">
        <v>2617</v>
      </c>
      <c r="C268" s="1154" t="s">
        <v>2618</v>
      </c>
      <c r="D268" s="1154" t="str">
        <f>IF(Input!$K$81=1,Übersetzungen!A268,IF(Input!$K$81=2,Übersetzungen!B268,Übersetzungen!C268))</f>
        <v>versicherter Lohn</v>
      </c>
    </row>
    <row r="269" spans="1:4" x14ac:dyDescent="0.25">
      <c r="A269" s="1154" t="s">
        <v>1166</v>
      </c>
      <c r="B269" s="1154" t="s">
        <v>3054</v>
      </c>
      <c r="C269" s="1154" t="s">
        <v>3088</v>
      </c>
      <c r="D269" s="1154" t="str">
        <f>IF(Input!$K$81=1,Übersetzungen!A269,IF(Input!$K$81=2,Übersetzungen!B269,Übersetzungen!C269))</f>
        <v>MODULE</v>
      </c>
    </row>
    <row r="270" spans="1:4" x14ac:dyDescent="0.25">
      <c r="A270" s="1154" t="s">
        <v>970</v>
      </c>
      <c r="B270" s="1154" t="s">
        <v>3055</v>
      </c>
      <c r="C270" s="1154" t="s">
        <v>2574</v>
      </c>
      <c r="D270" s="1154" t="str">
        <f>IF(Input!$K$81=1,Übersetzungen!A270,IF(Input!$K$81=2,Übersetzungen!B270,Übersetzungen!C270))</f>
        <v>Altersvorsorge</v>
      </c>
    </row>
    <row r="271" spans="1:4" x14ac:dyDescent="0.25">
      <c r="A271" s="1154" t="s">
        <v>973</v>
      </c>
      <c r="B271" s="1154" t="s">
        <v>2740</v>
      </c>
      <c r="C271" s="1154" t="s">
        <v>2741</v>
      </c>
      <c r="D271" s="1154" t="str">
        <f>IF(Input!$K$81=1,Übersetzungen!A271,IF(Input!$K$81=2,Übersetzungen!B271,Übersetzungen!C271))</f>
        <v>Zusatzsparen</v>
      </c>
    </row>
    <row r="272" spans="1:4" x14ac:dyDescent="0.25">
      <c r="A272" s="1154" t="s">
        <v>985</v>
      </c>
      <c r="B272" s="1154" t="s">
        <v>3056</v>
      </c>
      <c r="C272" s="1154" t="s">
        <v>3089</v>
      </c>
      <c r="D272" s="1154" t="str">
        <f>IF(Input!$K$81=1,Übersetzungen!A272,IF(Input!$K$81=2,Übersetzungen!B272,Übersetzungen!C272))</f>
        <v>Risikoversicherung</v>
      </c>
    </row>
    <row r="273" spans="1:4" x14ac:dyDescent="0.25">
      <c r="A273" s="1154" t="s">
        <v>1031</v>
      </c>
      <c r="B273" s="1154" t="s">
        <v>3057</v>
      </c>
      <c r="C273" s="1154" t="s">
        <v>3090</v>
      </c>
      <c r="D273" s="1154" t="str">
        <f>IF(Input!$K$81=1,Übersetzungen!A273,IF(Input!$K$81=2,Übersetzungen!B273,Übersetzungen!C273))</f>
        <v>Wartefrist</v>
      </c>
    </row>
    <row r="274" spans="1:4" x14ac:dyDescent="0.25">
      <c r="A274" s="1154" t="s">
        <v>979</v>
      </c>
      <c r="B274" s="1154" t="s">
        <v>3058</v>
      </c>
      <c r="C274" s="1154" t="s">
        <v>2585</v>
      </c>
      <c r="D274" s="1154" t="str">
        <f>IF(Input!$K$81=1,Übersetzungen!A274,IF(Input!$K$81=2,Übersetzungen!B274,Übersetzungen!C274))</f>
        <v>Todesfallkapital</v>
      </c>
    </row>
    <row r="275" spans="1:4" x14ac:dyDescent="0.25">
      <c r="A275" s="1154" t="s">
        <v>982</v>
      </c>
      <c r="B275" s="1154" t="s">
        <v>3059</v>
      </c>
      <c r="C275" s="1154" t="s">
        <v>3091</v>
      </c>
      <c r="D275" s="1154" t="str">
        <f>IF(Input!$K$81=1,Übersetzungen!A275,IF(Input!$K$81=2,Übersetzungen!B275,Übersetzungen!C275))</f>
        <v>Beitragsbefreiung</v>
      </c>
    </row>
    <row r="276" spans="1:4" x14ac:dyDescent="0.25">
      <c r="A276" s="1154" t="s">
        <v>1258</v>
      </c>
      <c r="B276" s="1154" t="s">
        <v>3060</v>
      </c>
      <c r="C276" s="1154" t="s">
        <v>3092</v>
      </c>
      <c r="D276" s="1154" t="str">
        <f>IF(Input!$K$81=1,Übersetzungen!A276,IF(Input!$K$81=2,Übersetzungen!B276,Übersetzungen!C276))</f>
        <v xml:space="preserve">      Sparen ab</v>
      </c>
    </row>
    <row r="277" spans="1:4" x14ac:dyDescent="0.25">
      <c r="A277" s="1154" t="s">
        <v>1165</v>
      </c>
      <c r="B277" s="1154" t="s">
        <v>3061</v>
      </c>
      <c r="C277" s="1154" t="s">
        <v>3093</v>
      </c>
      <c r="D277" s="1154" t="str">
        <f>IF(Input!$K$81=1,Übersetzungen!A277,IF(Input!$K$81=2,Übersetzungen!B277,Übersetzungen!C277))</f>
        <v>BEITRÄGE</v>
      </c>
    </row>
    <row r="278" spans="1:4" x14ac:dyDescent="0.25">
      <c r="A278" s="1154" t="s">
        <v>1100</v>
      </c>
      <c r="B278" s="1154" t="s">
        <v>3062</v>
      </c>
      <c r="C278" s="1154" t="s">
        <v>3094</v>
      </c>
      <c r="D278" s="1154" t="str">
        <f>IF(Input!$K$81=1,Übersetzungen!A278,IF(Input!$K$81=2,Übersetzungen!B278,Übersetzungen!C278))</f>
        <v>Arbeitgeberanteil 50 %; anderer:</v>
      </c>
    </row>
    <row r="279" spans="1:4" x14ac:dyDescent="0.25">
      <c r="A279" s="1154" t="s">
        <v>3034</v>
      </c>
      <c r="B279" s="1154" t="s">
        <v>3063</v>
      </c>
      <c r="C279" s="1154" t="s">
        <v>3095</v>
      </c>
      <c r="D279" s="1154" t="str">
        <f>IF(Input!$K$81=1,Übersetzungen!A279,IF(Input!$K$81=2,Übersetzungen!B279,Übersetzungen!C279))</f>
        <v xml:space="preserve">   nur bei Arbeitnehmern!</v>
      </c>
    </row>
    <row r="280" spans="1:4" x14ac:dyDescent="0.25">
      <c r="A280" s="1154" t="s">
        <v>3035</v>
      </c>
      <c r="B280" s="1154" t="s">
        <v>3064</v>
      </c>
      <c r="C280" s="1154" t="s">
        <v>3096</v>
      </c>
      <c r="D280" s="1154" t="str">
        <f>IF(Input!$K$81=1,Übersetzungen!A280,IF(Input!$K$81=2,Übersetzungen!B280,Übersetzungen!C280))</f>
        <v xml:space="preserve">    höchstens 100%!</v>
      </c>
    </row>
    <row r="281" spans="1:4" x14ac:dyDescent="0.25">
      <c r="A281" s="1154" t="s">
        <v>3036</v>
      </c>
      <c r="B281" s="1154" t="s">
        <v>3065</v>
      </c>
      <c r="C281" s="1154" t="s">
        <v>3097</v>
      </c>
      <c r="D281" s="1154" t="str">
        <f>IF(Input!$K$81=1,Übersetzungen!A281,IF(Input!$K$81=2,Übersetzungen!B281,Übersetzungen!C281))</f>
        <v xml:space="preserve">    mindestens 50%!</v>
      </c>
    </row>
    <row r="282" spans="1:4" x14ac:dyDescent="0.25">
      <c r="A282" s="1154" t="s">
        <v>3037</v>
      </c>
      <c r="B282" s="1154" t="s">
        <v>3066</v>
      </c>
      <c r="C282" s="1154" t="s">
        <v>3098</v>
      </c>
      <c r="D282" s="1154" t="str">
        <f>IF(Input!$K$81=1,Übersetzungen!A282,IF(Input!$K$81=2,Übersetzungen!B282,Übersetzungen!C282))</f>
        <v xml:space="preserve">   (leer = 50%)</v>
      </c>
    </row>
    <row r="283" spans="1:4" x14ac:dyDescent="0.25">
      <c r="A283" s="1154" t="s">
        <v>1164</v>
      </c>
      <c r="B283" s="1154" t="s">
        <v>3067</v>
      </c>
      <c r="C283" s="1154" t="s">
        <v>3099</v>
      </c>
      <c r="D283" s="1154" t="str">
        <f>IF(Input!$K$81=1,Übersetzungen!A283,IF(Input!$K$81=2,Übersetzungen!B283,Übersetzungen!C283))</f>
        <v>LEISTUNGEN</v>
      </c>
    </row>
    <row r="284" spans="1:4" x14ac:dyDescent="0.25">
      <c r="A284" s="1154" t="s">
        <v>3109</v>
      </c>
      <c r="B284" s="1154" t="s">
        <v>3110</v>
      </c>
      <c r="C284" s="1154" t="s">
        <v>3111</v>
      </c>
      <c r="D284" s="1154" t="str">
        <f>IF(Input!$K$81=1,Übersetzungen!A284,IF(Input!$K$81=2,Übersetzungen!B284,Übersetzungen!C284))</f>
        <v>Altersguthaben per 31.12.</v>
      </c>
    </row>
    <row r="285" spans="1:4" x14ac:dyDescent="0.25">
      <c r="A285" s="1154" t="s">
        <v>3112</v>
      </c>
      <c r="B285" s="1154" t="s">
        <v>3113</v>
      </c>
      <c r="C285" s="1154" t="s">
        <v>3114</v>
      </c>
      <c r="D285" s="1154" t="str">
        <f>IF(Input!$K$81=1,Übersetzungen!A285,IF(Input!$K$81=2,Übersetzungen!B285,Übersetzungen!C285))</f>
        <v xml:space="preserve">Altersguthaben per </v>
      </c>
    </row>
    <row r="286" spans="1:4" x14ac:dyDescent="0.25">
      <c r="A286" s="1154" t="s">
        <v>3117</v>
      </c>
      <c r="B286" s="1154" t="s">
        <v>3118</v>
      </c>
      <c r="C286" s="1154" t="s">
        <v>3119</v>
      </c>
      <c r="D286" s="1154" t="str">
        <f>IF(Input!$K$81=1,Übersetzungen!A286,IF(Input!$K$81=2,Übersetzungen!B286,Übersetzungen!C286))</f>
        <v>davon BVG per 31.12.</v>
      </c>
    </row>
    <row r="287" spans="1:4" x14ac:dyDescent="0.25">
      <c r="A287" s="1154" t="s">
        <v>3115</v>
      </c>
      <c r="B287" s="1154" t="s">
        <v>3116</v>
      </c>
      <c r="C287" s="1154" t="s">
        <v>2989</v>
      </c>
      <c r="D287" s="1154" t="str">
        <f>IF(Input!$K$81=1,Übersetzungen!A287,IF(Input!$K$81=2,Übersetzungen!B287,Übersetzungen!C287))</f>
        <v xml:space="preserve">davon BVG per </v>
      </c>
    </row>
    <row r="288" spans="1:4" x14ac:dyDescent="0.25">
      <c r="A288" s="1154" t="s">
        <v>1059</v>
      </c>
      <c r="B288" s="1154" t="s">
        <v>3068</v>
      </c>
      <c r="C288" s="1154" t="s">
        <v>3100</v>
      </c>
      <c r="D288" s="1154" t="str">
        <f>IF(Input!$K$81=1,Übersetzungen!A288,IF(Input!$K$81=2,Übersetzungen!B288,Übersetzungen!C288))</f>
        <v>Projektionszinssatz</v>
      </c>
    </row>
    <row r="289" spans="1:4" x14ac:dyDescent="0.25">
      <c r="A289" s="1154" t="s">
        <v>3038</v>
      </c>
      <c r="B289" s="1154" t="s">
        <v>3069</v>
      </c>
      <c r="C289" s="1154" t="s">
        <v>3101</v>
      </c>
      <c r="D289" s="1154" t="str">
        <f>IF(Input!$K$81=1,Übersetzungen!A289,IF(Input!$K$81=2,Übersetzungen!B289,Übersetzungen!C289))</f>
        <v xml:space="preserve">ab </v>
      </c>
    </row>
    <row r="290" spans="1:4" x14ac:dyDescent="0.25">
      <c r="A290" s="1154" t="s">
        <v>1281</v>
      </c>
      <c r="B290" s="1154" t="s">
        <v>3070</v>
      </c>
      <c r="C290" s="1154" t="s">
        <v>3102</v>
      </c>
      <c r="D290" s="1154" t="str">
        <f>IF(Input!$K$81=1,Übersetzungen!A290,IF(Input!$K$81=2,Übersetzungen!B290,Übersetzungen!C290))</f>
        <v>übersteuern</v>
      </c>
    </row>
    <row r="291" spans="1:4" x14ac:dyDescent="0.25">
      <c r="A291" s="1154" t="s">
        <v>3039</v>
      </c>
      <c r="B291" s="1154" t="s">
        <v>3071</v>
      </c>
      <c r="C291" s="1154" t="s">
        <v>3103</v>
      </c>
      <c r="D291" s="1154" t="str">
        <f>IF(Input!$K$81=1,Übersetzungen!A291,IF(Input!$K$81=2,Übersetzungen!B291,Übersetzungen!C291))</f>
        <v xml:space="preserve">    leer = </v>
      </c>
    </row>
    <row r="292" spans="1:4" x14ac:dyDescent="0.25">
      <c r="A292" s="1154" t="s">
        <v>1488</v>
      </c>
      <c r="B292" s="1154" t="s">
        <v>2871</v>
      </c>
      <c r="C292" s="1154" t="s">
        <v>2872</v>
      </c>
      <c r="D292" s="1154" t="str">
        <f>IF(Input!$K$81=1,Übersetzungen!A292,IF(Input!$K$81=2,Übersetzungen!B292,Übersetzungen!C292))</f>
        <v>Offerte</v>
      </c>
    </row>
    <row r="293" spans="1:4" x14ac:dyDescent="0.25">
      <c r="A293" s="1154" t="s">
        <v>775</v>
      </c>
      <c r="B293" s="1154" t="s">
        <v>3072</v>
      </c>
      <c r="C293" s="1154" t="s">
        <v>3104</v>
      </c>
      <c r="D293" s="1154" t="str">
        <f>IF(Input!$K$81=1,Übersetzungen!A293,IF(Input!$K$81=2,Übersetzungen!B293,Übersetzungen!C293))</f>
        <v>Erstellt durch</v>
      </c>
    </row>
    <row r="294" spans="1:4" x14ac:dyDescent="0.25">
      <c r="A294" s="1154" t="s">
        <v>1223</v>
      </c>
      <c r="B294" s="1154" t="s">
        <v>3073</v>
      </c>
      <c r="C294" s="1154" t="s">
        <v>3105</v>
      </c>
      <c r="D294" s="1154" t="str">
        <f>IF(Input!$K$81=1,Übersetzungen!A294,IF(Input!$K$81=2,Übersetzungen!B294,Übersetzungen!C294))</f>
        <v>Zuständig</v>
      </c>
    </row>
    <row r="295" spans="1:4" x14ac:dyDescent="0.25">
      <c r="A295" s="1154" t="s">
        <v>1226</v>
      </c>
      <c r="B295" s="1154" t="s">
        <v>3074</v>
      </c>
      <c r="C295" s="1154" t="s">
        <v>3106</v>
      </c>
      <c r="D295" s="1154" t="str">
        <f>IF(Input!$K$81=1,Übersetzungen!A295,IF(Input!$K$81=2,Übersetzungen!B295,Übersetzungen!C295))</f>
        <v>Telefonnummer</v>
      </c>
    </row>
    <row r="296" spans="1:4" x14ac:dyDescent="0.25">
      <c r="A296" s="1154" t="s">
        <v>2992</v>
      </c>
      <c r="B296" s="1154" t="s">
        <v>3120</v>
      </c>
      <c r="C296" s="1154" t="s">
        <v>2993</v>
      </c>
      <c r="D296" s="1154" t="str">
        <f>IF(Input!$K$81=1,Übersetzungen!A296,IF(Input!$K$81=2,Übersetzungen!B296,Übersetzungen!C296))</f>
        <v xml:space="preserve">Erstellt am </v>
      </c>
    </row>
    <row r="297" spans="1:4" x14ac:dyDescent="0.25">
      <c r="A297" s="1154" t="s">
        <v>3040</v>
      </c>
      <c r="B297" s="1154" t="s">
        <v>3121</v>
      </c>
      <c r="C297" s="1154" t="s">
        <v>3122</v>
      </c>
      <c r="D297" s="1154" t="str">
        <f>IF(Input!$K$81=1,Übersetzungen!A297,IF(Input!$K$81=2,Übersetzungen!B297,Übersetzungen!C297))</f>
        <v>; anderes:</v>
      </c>
    </row>
    <row r="298" spans="1:4" ht="69" x14ac:dyDescent="0.25">
      <c r="A298" s="1161" t="s">
        <v>2073</v>
      </c>
      <c r="B298" s="1161" t="s">
        <v>3076</v>
      </c>
      <c r="C298" s="1161" t="s">
        <v>3107</v>
      </c>
      <c r="D298" s="1154" t="str">
        <f>IF(Input!$K$81=1,Übersetzungen!A298,IF(Input!$K$81=2,Übersetzungen!B298,Übersetzungen!C298))</f>
        <v>* Aufgrund des Urteils A-4467/2011 des Bundesverwaltungsgerichts darf das Sparguthaben gegenüber Dritten,
  namentlich gegenüber dem Arbeitgeber, ohne Ermächtigung des Versicherten nicht ausgewiesen werden.</v>
      </c>
    </row>
    <row r="299" spans="1:4" x14ac:dyDescent="0.25">
      <c r="A299" s="1154" t="s">
        <v>742</v>
      </c>
      <c r="B299" s="1154" t="s">
        <v>3075</v>
      </c>
      <c r="C299" s="1154" t="s">
        <v>3108</v>
      </c>
      <c r="D299" s="1154" t="str">
        <f>IF(Input!$K$81=1,Übersetzungen!A299,IF(Input!$K$81=2,Übersetzungen!B299,Übersetzungen!C299))</f>
        <v xml:space="preserve">             Sparguthaben ausweisen?*</v>
      </c>
    </row>
    <row r="300" spans="1:4" x14ac:dyDescent="0.25">
      <c r="A300" s="1154" t="s">
        <v>1094</v>
      </c>
      <c r="B300" s="1154" t="s">
        <v>3135</v>
      </c>
      <c r="C300" s="1154" t="s">
        <v>3125</v>
      </c>
      <c r="D300" s="1154" t="str">
        <f>IF(Input!$K$81=1,Übersetzungen!A300,IF(Input!$K$81=2,Übersetzungen!B300,Übersetzungen!C300))</f>
        <v>Mann</v>
      </c>
    </row>
    <row r="301" spans="1:4" x14ac:dyDescent="0.25">
      <c r="A301" s="1154" t="s">
        <v>1095</v>
      </c>
      <c r="B301" s="1154" t="s">
        <v>3136</v>
      </c>
      <c r="C301" s="1154" t="s">
        <v>3126</v>
      </c>
      <c r="D301" s="1154" t="str">
        <f>IF(Input!$K$81=1,Übersetzungen!A301,IF(Input!$K$81=2,Übersetzungen!B301,Übersetzungen!C301))</f>
        <v>Frau</v>
      </c>
    </row>
    <row r="302" spans="1:4" x14ac:dyDescent="0.25">
      <c r="A302" s="1154" t="s">
        <v>3747</v>
      </c>
      <c r="B302" s="1154" t="s">
        <v>3137</v>
      </c>
      <c r="C302" s="1154" t="s">
        <v>3127</v>
      </c>
      <c r="D302" s="1154" t="str">
        <f>IF(Input!$K$81=1,Übersetzungen!A302,IF(Input!$K$81=2,Übersetzungen!B302,Übersetzungen!C302))</f>
        <v>Arbeitnehmer/in</v>
      </c>
    </row>
    <row r="303" spans="1:4" x14ac:dyDescent="0.25">
      <c r="A303" s="1154" t="s">
        <v>1390</v>
      </c>
      <c r="B303" s="1154" t="s">
        <v>3138</v>
      </c>
      <c r="C303" s="1154" t="s">
        <v>3128</v>
      </c>
      <c r="D303" s="1154" t="str">
        <f>IF(Input!$K$81=1,Übersetzungen!A303,IF(Input!$K$81=2,Übersetzungen!B303,Übersetzungen!C303))</f>
        <v>SE: Eintritt vor 50</v>
      </c>
    </row>
    <row r="304" spans="1:4" x14ac:dyDescent="0.25">
      <c r="A304" s="1154" t="s">
        <v>1980</v>
      </c>
      <c r="B304" s="1154" t="s">
        <v>3139</v>
      </c>
      <c r="C304" s="1154" t="s">
        <v>3129</v>
      </c>
      <c r="D304" s="1154" t="str">
        <f>IF(Input!$K$81=1,Übersetzungen!A304,IF(Input!$K$81=2,Übersetzungen!B304,Übersetzungen!C304))</f>
        <v>SE: Eintritt ab 50</v>
      </c>
    </row>
    <row r="305" spans="1:4" x14ac:dyDescent="0.25">
      <c r="A305" s="1154" t="s">
        <v>3811</v>
      </c>
      <c r="B305" s="1154" t="s">
        <v>3812</v>
      </c>
      <c r="C305" s="1154" t="s">
        <v>3813</v>
      </c>
      <c r="D305" s="1154" t="str">
        <f>IF(Input!$K$81=1,Übersetzungen!A305,IF(Input!$K$81=2,Übersetzungen!B305,Übersetzungen!C305))</f>
        <v>SE: Eintritt ab 60</v>
      </c>
    </row>
    <row r="306" spans="1:4" x14ac:dyDescent="0.25">
      <c r="A306" s="1154" t="s">
        <v>1169</v>
      </c>
      <c r="B306" s="1154" t="s">
        <v>3130</v>
      </c>
      <c r="C306" s="1154" t="s">
        <v>3130</v>
      </c>
      <c r="D306" s="1154" t="str">
        <f>IF(Input!$K$81=1,Übersetzungen!A306,IF(Input!$K$81=2,Übersetzungen!B306,Übersetzungen!C306))</f>
        <v>L1 (BVG)</v>
      </c>
    </row>
    <row r="307" spans="1:4" x14ac:dyDescent="0.25">
      <c r="A307" s="1154" t="s">
        <v>1170</v>
      </c>
      <c r="B307" s="1154" t="s">
        <v>2636</v>
      </c>
      <c r="C307" s="1154" t="s">
        <v>2637</v>
      </c>
      <c r="D307" s="1154" t="str">
        <f>IF(Input!$K$81=1,Übersetzungen!A307,IF(Input!$K$81=2,Übersetzungen!B307,Übersetzungen!C307))</f>
        <v>L2 (BVG; nach BS-Grad)</v>
      </c>
    </row>
    <row r="308" spans="1:4" x14ac:dyDescent="0.25">
      <c r="A308" s="1154" t="s">
        <v>1168</v>
      </c>
      <c r="B308" s="1154" t="s">
        <v>2639</v>
      </c>
      <c r="C308" s="1154" t="s">
        <v>2640</v>
      </c>
      <c r="D308" s="1154" t="str">
        <f>IF(Input!$K$81=1,Übersetzungen!A308,IF(Input!$K$81=2,Übersetzungen!B308,Übersetzungen!C308))</f>
        <v>L3 (80% AHV-Lohn)</v>
      </c>
    </row>
    <row r="309" spans="1:4" x14ac:dyDescent="0.25">
      <c r="A309" s="1154" t="s">
        <v>1167</v>
      </c>
      <c r="B309" s="1154" t="s">
        <v>2642</v>
      </c>
      <c r="C309" s="1154" t="s">
        <v>2643</v>
      </c>
      <c r="D309" s="1154" t="str">
        <f>IF(Input!$K$81=1,Übersetzungen!A309,IF(Input!$K$81=2,Übersetzungen!B309,Übersetzungen!C309))</f>
        <v>L4 (AHV-Lohn)</v>
      </c>
    </row>
    <row r="310" spans="1:4" x14ac:dyDescent="0.25">
      <c r="A310" s="1154" t="s">
        <v>1336</v>
      </c>
      <c r="B310" s="1154" t="s">
        <v>2645</v>
      </c>
      <c r="C310" s="1154" t="s">
        <v>2646</v>
      </c>
      <c r="D310" s="1154" t="str">
        <f>IF(Input!$K$81=1,Übersetzungen!A310,IF(Input!$K$81=2,Übersetzungen!B310,Übersetzungen!C310))</f>
        <v>L5 (1/2 Koordinationsabzug)</v>
      </c>
    </row>
    <row r="311" spans="1:4" x14ac:dyDescent="0.25">
      <c r="A311" s="1154" t="s">
        <v>3926</v>
      </c>
      <c r="B311" s="1154" t="s">
        <v>3927</v>
      </c>
      <c r="C311" s="1154" t="s">
        <v>3928</v>
      </c>
      <c r="D311" s="1154" t="str">
        <f>IF(Input!$K$81=1,Übersetzungen!A311,IF(Input!$K$81=2,Übersetzungen!B311,Übersetzungen!C311))</f>
        <v>gemäss BVG (22'050 Fr.)</v>
      </c>
    </row>
    <row r="312" spans="1:4" x14ac:dyDescent="0.25">
      <c r="A312" s="1154" t="s">
        <v>1818</v>
      </c>
      <c r="B312" s="1154" t="s">
        <v>2651</v>
      </c>
      <c r="C312" s="1154" t="s">
        <v>2652</v>
      </c>
      <c r="D312" s="1154" t="str">
        <f>IF(Input!$K$81=1,Übersetzungen!A312,IF(Input!$K$81=2,Übersetzungen!B312,Übersetzungen!C312))</f>
        <v>keine Eintrittsschwelle</v>
      </c>
    </row>
    <row r="313" spans="1:4" x14ac:dyDescent="0.25">
      <c r="A313" s="1154" t="s">
        <v>3929</v>
      </c>
      <c r="B313" s="1154" t="s">
        <v>3930</v>
      </c>
      <c r="C313" s="1154" t="s">
        <v>3931</v>
      </c>
      <c r="D313" s="1154" t="str">
        <f>IF(Input!$K$81=1,Übersetzungen!A313,IF(Input!$K$81=2,Übersetzungen!B313,Übersetzungen!C313))</f>
        <v>gemäss BVG (22'050 Fr.) * BGR</v>
      </c>
    </row>
    <row r="314" spans="1:4" x14ac:dyDescent="0.25">
      <c r="A314" s="1154" t="s">
        <v>3932</v>
      </c>
      <c r="B314" s="1154" t="s">
        <v>3933</v>
      </c>
      <c r="C314" s="1154" t="s">
        <v>3934</v>
      </c>
      <c r="D314" s="1154" t="str">
        <f>IF(Input!$K$81=1,Übersetzungen!A314,IF(Input!$K$81=2,Übersetzungen!B314,Übersetzungen!C314))</f>
        <v>gemäss BVG (fix 22'050 Fr.)</v>
      </c>
    </row>
    <row r="315" spans="1:4" x14ac:dyDescent="0.25">
      <c r="A315" s="1154" t="s">
        <v>3935</v>
      </c>
      <c r="B315" s="1154" t="s">
        <v>3936</v>
      </c>
      <c r="C315" s="1154" t="s">
        <v>3937</v>
      </c>
      <c r="D315" s="1154" t="str">
        <f>IF(Input!$K$81=1,Übersetzungen!A315,IF(Input!$K$81=2,Übersetzungen!B315,Übersetzungen!C315))</f>
        <v>gemäss BVG (62'475 Fr.)</v>
      </c>
    </row>
    <row r="316" spans="1:4" x14ac:dyDescent="0.25">
      <c r="A316" s="1154" t="s">
        <v>3123</v>
      </c>
      <c r="B316" s="1154" t="s">
        <v>3140</v>
      </c>
      <c r="C316" s="1154" t="s">
        <v>3131</v>
      </c>
      <c r="D316" s="1154" t="str">
        <f>IF(Input!$K$81=1,Übersetzungen!A316,IF(Input!$K$81=2,Übersetzungen!B316,Übersetzungen!C316))</f>
        <v>gemäss UVG (148'200 Fr.)</v>
      </c>
    </row>
    <row r="317" spans="1:4" x14ac:dyDescent="0.25">
      <c r="A317" s="1154" t="s">
        <v>1218</v>
      </c>
      <c r="B317" s="1154" t="s">
        <v>2666</v>
      </c>
      <c r="C317" s="1154" t="s">
        <v>2667</v>
      </c>
      <c r="D317" s="1154" t="str">
        <f>IF(Input!$K$81=1,Übersetzungen!A317,IF(Input!$K$81=2,Übersetzungen!B317,Übersetzungen!C317))</f>
        <v>ohne Plafond</v>
      </c>
    </row>
    <row r="318" spans="1:4" x14ac:dyDescent="0.25">
      <c r="A318" s="1154" t="s">
        <v>3938</v>
      </c>
      <c r="B318" s="1154" t="s">
        <v>3939</v>
      </c>
      <c r="C318" s="1154" t="s">
        <v>3940</v>
      </c>
      <c r="D318" s="1154" t="str">
        <f>IF(Input!$K$81=1,Übersetzungen!A318,IF(Input!$K$81=2,Übersetzungen!B318,Übersetzungen!C318))</f>
        <v>gemäss SIFO (132'300 Fr.)</v>
      </c>
    </row>
    <row r="319" spans="1:4" x14ac:dyDescent="0.25">
      <c r="A319" s="1154" t="s">
        <v>3941</v>
      </c>
      <c r="B319" s="1154" t="s">
        <v>3942</v>
      </c>
      <c r="C319" s="1154" t="s">
        <v>3943</v>
      </c>
      <c r="D319" s="1154" t="str">
        <f>IF(Input!$K$81=1,Übersetzungen!A319,IF(Input!$K$81=2,Übersetzungen!B319,Übersetzungen!C319))</f>
        <v>300% AHVmax (88'200 Fr.)</v>
      </c>
    </row>
    <row r="320" spans="1:4" x14ac:dyDescent="0.25">
      <c r="A320" s="1154" t="s">
        <v>3944</v>
      </c>
      <c r="B320" s="1154" t="s">
        <v>3945</v>
      </c>
      <c r="C320" s="1154" t="s">
        <v>3946</v>
      </c>
      <c r="D320" s="1154" t="str">
        <f>IF(Input!$K$81=1,Übersetzungen!A320,IF(Input!$K$81=2,Übersetzungen!B320,Übersetzungen!C320))</f>
        <v>gemäss SIFO ./. KA (106'575 Fr.)</v>
      </c>
    </row>
    <row r="321" spans="1:4" x14ac:dyDescent="0.25">
      <c r="A321" s="1154" t="s">
        <v>3855</v>
      </c>
      <c r="B321" s="1154" t="s">
        <v>3857</v>
      </c>
      <c r="C321" s="1154" t="s">
        <v>3856</v>
      </c>
      <c r="D321" s="1154" t="str">
        <f>IF(Input!$K$81=1,Übersetzungen!A321,IF(Input!$K$81=2,Übersetzungen!B321,Übersetzungen!C321))</f>
        <v>200% UVGmax (296'400 Fr.)</v>
      </c>
    </row>
    <row r="322" spans="1:4" x14ac:dyDescent="0.25">
      <c r="A322" s="1154" t="s">
        <v>1176</v>
      </c>
      <c r="B322" s="1154" t="s">
        <v>3141</v>
      </c>
      <c r="C322" s="1154" t="s">
        <v>2682</v>
      </c>
      <c r="D322" s="1154" t="str">
        <f>IF(Input!$K$81=1,Übersetzungen!A322,IF(Input!$K$81=2,Übersetzungen!B322,Übersetzungen!C322))</f>
        <v>kein Zusatzsparen</v>
      </c>
    </row>
    <row r="323" spans="1:4" x14ac:dyDescent="0.25">
      <c r="A323" s="1154" t="s">
        <v>1179</v>
      </c>
      <c r="B323" s="1154" t="s">
        <v>3142</v>
      </c>
      <c r="C323" s="1154" t="s">
        <v>3132</v>
      </c>
      <c r="D323" s="1154" t="str">
        <f>IF(Input!$K$81=1,Übersetzungen!A323,IF(Input!$K$81=2,Übersetzungen!B323,Übersetzungen!C323))</f>
        <v>R1 (gemäss BVG)</v>
      </c>
    </row>
    <row r="324" spans="1:4" x14ac:dyDescent="0.25">
      <c r="A324" s="1154" t="s">
        <v>1197</v>
      </c>
      <c r="B324" s="1154" t="s">
        <v>3143</v>
      </c>
      <c r="C324" s="1154" t="s">
        <v>3133</v>
      </c>
      <c r="D324" s="1154" t="str">
        <f>IF(Input!$K$81=1,Übersetzungen!A324,IF(Input!$K$81=2,Übersetzungen!B324,Übersetzungen!C324))</f>
        <v>kein zusätzliches TK</v>
      </c>
    </row>
    <row r="325" spans="1:4" x14ac:dyDescent="0.25">
      <c r="A325" s="1154" t="s">
        <v>1427</v>
      </c>
      <c r="B325" s="1154" t="s">
        <v>3144</v>
      </c>
      <c r="C325" s="1154" t="s">
        <v>3134</v>
      </c>
      <c r="D325" s="1154" t="str">
        <f>IF(Input!$K$81=1,Übersetzungen!A325,IF(Input!$K$81=2,Übersetzungen!B325,Übersetzungen!C325))</f>
        <v>TK2 (Altersguthaben)</v>
      </c>
    </row>
    <row r="326" spans="1:4" x14ac:dyDescent="0.25">
      <c r="A326" s="1154" t="s">
        <v>1489</v>
      </c>
      <c r="B326" s="1154" t="s">
        <v>2713</v>
      </c>
      <c r="C326" s="1154" t="s">
        <v>2714</v>
      </c>
      <c r="D326" s="1154" t="str">
        <f>IF(Input!$K$81=1,Übersetzungen!A326,IF(Input!$K$81=2,Übersetzungen!B326,Übersetzungen!C326))</f>
        <v>ja</v>
      </c>
    </row>
    <row r="327" spans="1:4" x14ac:dyDescent="0.25">
      <c r="A327" s="1154" t="s">
        <v>1006</v>
      </c>
      <c r="B327" s="1154" t="s">
        <v>2716</v>
      </c>
      <c r="C327" s="1154" t="s">
        <v>2717</v>
      </c>
      <c r="D327" s="1154" t="str">
        <f>IF(Input!$K$81=1,Übersetzungen!A327,IF(Input!$K$81=2,Übersetzungen!B327,Übersetzungen!C327))</f>
        <v>nein</v>
      </c>
    </row>
    <row r="328" spans="1:4" x14ac:dyDescent="0.25">
      <c r="A328" s="1154" t="s">
        <v>3145</v>
      </c>
      <c r="B328" s="1154" t="s">
        <v>3146</v>
      </c>
      <c r="C328" s="1154" t="s">
        <v>3147</v>
      </c>
      <c r="D328" s="1154" t="str">
        <f>IF(Input!$K$81=1,Übersetzungen!A328,IF(Input!$K$81=2,Übersetzungen!B328,Übersetzungen!C328))</f>
        <v xml:space="preserve"> Nur wenn vL mindestens </v>
      </c>
    </row>
    <row r="329" spans="1:4" x14ac:dyDescent="0.25">
      <c r="A329" s="1154" t="s">
        <v>3148</v>
      </c>
      <c r="B329" s="1154" t="s">
        <v>3152</v>
      </c>
      <c r="C329" s="1154" t="s">
        <v>3150</v>
      </c>
      <c r="D329" s="1154" t="str">
        <f>IF(Input!$K$81=1,Übersetzungen!A329,IF(Input!$K$81=2,Übersetzungen!B329,Übersetzungen!C329))</f>
        <v>Keine Wahl; immer 1/2 Koordinationsabzug!</v>
      </c>
    </row>
    <row r="330" spans="1:4" x14ac:dyDescent="0.25">
      <c r="A330" s="1154" t="s">
        <v>3149</v>
      </c>
      <c r="B330" s="1154" t="s">
        <v>3153</v>
      </c>
      <c r="C330" s="1154" t="s">
        <v>3151</v>
      </c>
      <c r="D330" s="1154" t="str">
        <f>IF(Input!$K$81=1,Übersetzungen!A330,IF(Input!$K$81=2,Übersetzungen!B330,Übersetzungen!C330))</f>
        <v xml:space="preserve"> Keine Wahl; immer ohne Plafond!</v>
      </c>
    </row>
    <row r="331" spans="1:4" x14ac:dyDescent="0.25">
      <c r="A331" s="1154" t="s">
        <v>3725</v>
      </c>
      <c r="B331" s="1154" t="s">
        <v>3726</v>
      </c>
      <c r="C331" s="1154" t="s">
        <v>3727</v>
      </c>
      <c r="D331" s="1154" t="str">
        <f>IF(Input!$K$81=1,Übersetzungen!A331,IF(Input!$K$81=2,Übersetzungen!B331,Übersetzungen!C331))</f>
        <v>Achtung! Die Angemessenheit ist bei dieser Planwahl nicht erfüllt! Bitte Plan anpassen! (Lohn auf mind. 110'000 erhöhen oder Koodinationsabzug gem. BVG auswählen)</v>
      </c>
    </row>
    <row r="332" spans="1:4" x14ac:dyDescent="0.25">
      <c r="A332" s="1154" t="s">
        <v>3728</v>
      </c>
      <c r="B332" s="1154" t="s">
        <v>3729</v>
      </c>
      <c r="C332" s="1154" t="s">
        <v>3730</v>
      </c>
      <c r="D332" s="1154" t="str">
        <f>IF(Input!$K$81=1,Übersetzungen!A332,IF(Input!$K$81=2,Übersetzungen!B332,Übersetzungen!C332))</f>
        <v>Achtung! Die Angemessenheit ist bei dieser Planwahl nicht erfüllt! Bitte Plan anpassen! (Lohn auf mind. 146'000 erhöhen oder Koodinationsabzug gem. BVG auswählen)</v>
      </c>
    </row>
    <row r="333" spans="1:4" x14ac:dyDescent="0.25">
      <c r="A333" s="1154" t="s">
        <v>3731</v>
      </c>
      <c r="B333" s="1154" t="s">
        <v>3732</v>
      </c>
      <c r="C333" s="1154" t="s">
        <v>3733</v>
      </c>
      <c r="D333" s="1154" t="str">
        <f>IF(Input!$K$81=1,Übersetzungen!A333,IF(Input!$K$81=2,Übersetzungen!B333,Übersetzungen!C333))</f>
        <v>Achtung! Die Angemessenheit ist bei dieser Planwahl nicht erfüllt! Bitte Plan anpassen! (Lohn auf mind. 130'000 erhöhen oder Koodinationsabzug gem. BVG auswählen)</v>
      </c>
    </row>
    <row r="337" spans="1:4" ht="21" x14ac:dyDescent="0.4">
      <c r="A337" s="1153" t="s">
        <v>3172</v>
      </c>
    </row>
    <row r="339" spans="1:4" x14ac:dyDescent="0.25">
      <c r="A339" s="1154" t="s">
        <v>3173</v>
      </c>
      <c r="B339" s="1154" t="s">
        <v>3218</v>
      </c>
      <c r="C339" s="1154" t="s">
        <v>3276</v>
      </c>
      <c r="D339" s="1154" t="str">
        <f>IF(Input!$K$81=1,Übersetzungen!A339,IF(Input!$K$81=2,Übersetzungen!B339,Übersetzungen!C339))</f>
        <v>Vorsorgeplanbeschrieb</v>
      </c>
    </row>
    <row r="340" spans="1:4" x14ac:dyDescent="0.25">
      <c r="A340" s="1154" t="s">
        <v>1492</v>
      </c>
      <c r="B340" s="1154" t="s">
        <v>3219</v>
      </c>
      <c r="C340" s="1154" t="s">
        <v>3277</v>
      </c>
      <c r="D340" s="1154" t="str">
        <f>IF(Input!$K$81=1,Übersetzungen!A340,IF(Input!$K$81=2,Übersetzungen!B340,Übersetzungen!C340))</f>
        <v>BERECHNUNG DES VERSICHERTEN EINKOMMENS</v>
      </c>
    </row>
    <row r="341" spans="1:4" x14ac:dyDescent="0.25">
      <c r="A341" s="1154" t="s">
        <v>3174</v>
      </c>
      <c r="B341" s="1154" t="s">
        <v>3220</v>
      </c>
      <c r="C341" s="1154" t="s">
        <v>3278</v>
      </c>
      <c r="D341" s="1154" t="str">
        <f>IF(Input!$K$81=1,Übersetzungen!A341,IF(Input!$K$81=2,Übersetzungen!B341,Übersetzungen!C341))</f>
        <v>Sie haben das AHV-Alter überschritten, bitte wenden Sie sich an die PAT-BVG!</v>
      </c>
    </row>
    <row r="342" spans="1:4" x14ac:dyDescent="0.25">
      <c r="A342" s="1154" t="s">
        <v>3175</v>
      </c>
      <c r="B342" s="1154" t="s">
        <v>3221</v>
      </c>
      <c r="C342" s="1154" t="s">
        <v>3279</v>
      </c>
      <c r="D342" s="1154" t="str">
        <f>IF(Input!$K$81=1,Übersetzungen!A342,IF(Input!$K$81=2,Übersetzungen!B342,Übersetzungen!C342))</f>
        <v>AHV-Einkommen abzüglich 1/2 Koordinationsbetrag gemäss BVG.</v>
      </c>
    </row>
    <row r="343" spans="1:4" x14ac:dyDescent="0.25">
      <c r="A343" s="1154" t="s">
        <v>3176</v>
      </c>
      <c r="B343" s="1154" t="s">
        <v>3222</v>
      </c>
      <c r="C343" s="1154" t="s">
        <v>3280</v>
      </c>
      <c r="D343" s="1154" t="str">
        <f>IF(Input!$K$81=1,Übersetzungen!A343,IF(Input!$K$81=2,Übersetzungen!B343,Übersetzungen!C343))</f>
        <v>AHV-Einkommen abzüglich 20% des AHV-Einkommens, maximal Koordinationsbetrag gemäss BVG.</v>
      </c>
    </row>
    <row r="344" spans="1:4" x14ac:dyDescent="0.25">
      <c r="A344" s="1154" t="s">
        <v>3177</v>
      </c>
      <c r="B344" s="1154" t="s">
        <v>3223</v>
      </c>
      <c r="C344" s="1154" t="s">
        <v>3281</v>
      </c>
      <c r="D344" s="1154" t="str">
        <f>IF(Input!$K$81=1,Übersetzungen!A344,IF(Input!$K$81=2,Übersetzungen!B344,Übersetzungen!C344))</f>
        <v>AHV-Einkommen abzüglich Koordinationsbetrag gemäss BVG, in % des Beschäftigungsgrades.</v>
      </c>
    </row>
    <row r="345" spans="1:4" x14ac:dyDescent="0.25">
      <c r="A345" s="1154" t="s">
        <v>3178</v>
      </c>
      <c r="B345" s="1154" t="s">
        <v>3224</v>
      </c>
      <c r="C345" s="1154" t="s">
        <v>3282</v>
      </c>
      <c r="D345" s="1154" t="str">
        <f>IF(Input!$K$81=1,Übersetzungen!A345,IF(Input!$K$81=2,Übersetzungen!B345,Übersetzungen!C345))</f>
        <v>AHV-Einkommen abzüglich Koordinationsabzug gemäss BVG.</v>
      </c>
    </row>
    <row r="346" spans="1:4" x14ac:dyDescent="0.25">
      <c r="A346" s="1154" t="s">
        <v>3179</v>
      </c>
      <c r="B346" s="1154" t="s">
        <v>3225</v>
      </c>
      <c r="C346" s="1154" t="s">
        <v>3283</v>
      </c>
      <c r="D346" s="1154" t="str">
        <f>IF(Input!$K$81=1,Übersetzungen!A346,IF(Input!$K$81=2,Übersetzungen!B346,Übersetzungen!C346))</f>
        <v>AHV-Einkommen ohne Abzug eines Koordinationsbetrags. Versichert ist das gesamte AHV-Einkommen.</v>
      </c>
    </row>
    <row r="347" spans="1:4" x14ac:dyDescent="0.25">
      <c r="A347" s="1154" t="s">
        <v>3180</v>
      </c>
      <c r="B347" s="1154" t="s">
        <v>3226</v>
      </c>
      <c r="C347" s="1154" t="s">
        <v>3284</v>
      </c>
      <c r="D347" s="1154" t="str">
        <f>IF(Input!$K$81=1,Übersetzungen!A347,IF(Input!$K$81=2,Übersetzungen!B347,Übersetzungen!C347))</f>
        <v>Der versicherte Lohn ist nach oben nicht begrenzt.</v>
      </c>
    </row>
    <row r="348" spans="1:4" x14ac:dyDescent="0.25">
      <c r="A348" s="1154" t="s">
        <v>3181</v>
      </c>
      <c r="B348" s="1154" t="s">
        <v>3227</v>
      </c>
      <c r="C348" s="1154" t="s">
        <v>3285</v>
      </c>
      <c r="D348" s="1154" t="str">
        <f>IF(Input!$K$81=1,Übersetzungen!A348,IF(Input!$K$81=2,Übersetzungen!B348,Übersetzungen!C348))</f>
        <v>Der maximal versicherte Lohn ist nach oben gemäss BVG begrenzt.</v>
      </c>
    </row>
    <row r="349" spans="1:4" x14ac:dyDescent="0.25">
      <c r="A349" s="1154" t="s">
        <v>3182</v>
      </c>
      <c r="B349" s="1154" t="s">
        <v>3228</v>
      </c>
      <c r="C349" s="1154" t="s">
        <v>3286</v>
      </c>
      <c r="D349" s="1154" t="str">
        <f>IF(Input!$K$81=1,Übersetzungen!A349,IF(Input!$K$81=2,Übersetzungen!B349,Übersetzungen!C349))</f>
        <v>Der maximal versicherte Lohn ist nach oben gemäss UVG begrenzt.</v>
      </c>
    </row>
    <row r="350" spans="1:4" x14ac:dyDescent="0.25">
      <c r="A350" s="1154" t="s">
        <v>3180</v>
      </c>
      <c r="B350" s="1154" t="s">
        <v>3226</v>
      </c>
      <c r="C350" s="1154" t="s">
        <v>3284</v>
      </c>
      <c r="D350" s="1154" t="str">
        <f>IF(Input!$K$81=1,Übersetzungen!A350,IF(Input!$K$81=2,Übersetzungen!B350,Übersetzungen!C350))</f>
        <v>Der versicherte Lohn ist nach oben nicht begrenzt.</v>
      </c>
    </row>
    <row r="351" spans="1:4" x14ac:dyDescent="0.25">
      <c r="A351" s="1163" t="s">
        <v>3333</v>
      </c>
      <c r="B351" s="1163" t="s">
        <v>3334</v>
      </c>
      <c r="C351" s="1163" t="s">
        <v>3337</v>
      </c>
      <c r="D351" s="1154" t="str">
        <f>IF(Input!$K$81=1,Übersetzungen!A351,IF(Input!$K$81=2,Übersetzungen!B351,Übersetzungen!C351))</f>
        <v>Der maximal versicherte Lohn ist auf das Maximum gemäss Sicherheitsfonds begrenzt.</v>
      </c>
    </row>
    <row r="352" spans="1:4" x14ac:dyDescent="0.25">
      <c r="A352" s="1163" t="s">
        <v>3335</v>
      </c>
      <c r="B352" s="1163" t="s">
        <v>3336</v>
      </c>
      <c r="C352" s="1163" t="s">
        <v>3338</v>
      </c>
      <c r="D352" s="1154" t="str">
        <f>IF(Input!$K$81=1,Übersetzungen!A352,IF(Input!$K$81=2,Übersetzungen!B352,Übersetzungen!C352))</f>
        <v>Der maximal versicherte Lohn ist auf 300% der maximalen AHV-Altersrente begrenzt.</v>
      </c>
    </row>
    <row r="353" spans="1:16" x14ac:dyDescent="0.25">
      <c r="A353" s="1163" t="s">
        <v>3858</v>
      </c>
      <c r="B353" s="1163" t="s">
        <v>3863</v>
      </c>
      <c r="C353" s="1163" t="s">
        <v>3859</v>
      </c>
      <c r="D353" s="1154" t="str">
        <f>IF(Input!$K$81=1,Übersetzungen!A353,IF(Input!$K$81=2,Übersetzungen!B353,Übersetzungen!C353))</f>
        <v>Der maximal versicherte Lohn ist auf das Maximum gemäss Sicherheitsfonds abzüglich Koordinationsabzug gemäss BVG begrenzt.</v>
      </c>
    </row>
    <row r="354" spans="1:16" x14ac:dyDescent="0.25">
      <c r="A354" s="1154" t="s">
        <v>3860</v>
      </c>
      <c r="B354" s="1154" t="s">
        <v>3861</v>
      </c>
      <c r="C354" s="1154" t="s">
        <v>3862</v>
      </c>
      <c r="D354" s="1154" t="str">
        <f>IF(Input!$K$81=1,Übersetzungen!A354,IF(Input!$K$81=2,Übersetzungen!B354,Übersetzungen!C354))</f>
        <v>Der maximal versicherte Lohn ist auf 200% des gemäss UVG massgebenden Höchstbetrages begrenzt.</v>
      </c>
    </row>
    <row r="355" spans="1:16" x14ac:dyDescent="0.25">
      <c r="A355" s="1154" t="s">
        <v>3183</v>
      </c>
      <c r="B355" s="1154" t="s">
        <v>3229</v>
      </c>
      <c r="C355" s="1154" t="s">
        <v>3287</v>
      </c>
      <c r="D355" s="1154" t="str">
        <f>IF(Input!$K$81=1,Übersetzungen!A355,IF(Input!$K$81=2,Übersetzungen!B355,Übersetzungen!C355))</f>
        <v>Versichert sind jene Personen, deren Jahresgehalt 1/2 des Koordinationsbetrags gemäss BVG übersteigt.</v>
      </c>
    </row>
    <row r="356" spans="1:16" x14ac:dyDescent="0.25">
      <c r="A356" s="1154" t="s">
        <v>3184</v>
      </c>
      <c r="B356" s="1154" t="s">
        <v>3230</v>
      </c>
      <c r="C356" s="1154" t="s">
        <v>3288</v>
      </c>
      <c r="D356" s="1154" t="str">
        <f>IF(Input!$K$81=1,Übersetzungen!A356,IF(Input!$K$81=2,Übersetzungen!B356,Übersetzungen!C356))</f>
        <v>Versichert sind jene Personen, deren Jahresgehalt bei 100% Beschäftigung die Eintrittsschwelle gemäss BVG übersteigt.</v>
      </c>
    </row>
    <row r="357" spans="1:16" x14ac:dyDescent="0.25">
      <c r="A357" s="1154" t="s">
        <v>3185</v>
      </c>
      <c r="B357" s="1154" t="s">
        <v>3231</v>
      </c>
      <c r="C357" s="1154" t="s">
        <v>3289</v>
      </c>
      <c r="D357" s="1154" t="str">
        <f>IF(Input!$K$81=1,Übersetzungen!A357,IF(Input!$K$81=2,Übersetzungen!B357,Übersetzungen!C357))</f>
        <v>Versichert sind jene Personen, deren Jahresgehalt die Eintrittsschwelle gemäss BVG übersteigt.</v>
      </c>
    </row>
    <row r="358" spans="1:16" x14ac:dyDescent="0.25">
      <c r="A358" s="1154" t="s">
        <v>3186</v>
      </c>
      <c r="B358" s="1154" t="s">
        <v>3232</v>
      </c>
      <c r="C358" s="1154" t="s">
        <v>3290</v>
      </c>
      <c r="D358" s="1154" t="str">
        <f>IF(Input!$K$81=1,Übersetzungen!A358,IF(Input!$K$81=2,Übersetzungen!B358,Übersetzungen!C358))</f>
        <v>Versichert sind auch jene Personen, deren Jahresgehalt die Eintrittsschwelle gemäss BVG nicht erreicht.</v>
      </c>
    </row>
    <row r="359" spans="1:16" x14ac:dyDescent="0.25">
      <c r="A359" s="1154" t="s">
        <v>3187</v>
      </c>
      <c r="B359" s="1154" t="s">
        <v>3233</v>
      </c>
      <c r="C359" s="1154" t="s">
        <v>3291</v>
      </c>
      <c r="D359" s="1154" t="str">
        <f>IF(Input!$K$81=1,Übersetzungen!A359,IF(Input!$K$81=2,Übersetzungen!B359,Übersetzungen!C359))</f>
        <v>ALTERSVORSORGE (SPAREN AB 18)</v>
      </c>
    </row>
    <row r="360" spans="1:16" x14ac:dyDescent="0.25">
      <c r="A360" s="1154" t="s">
        <v>3188</v>
      </c>
      <c r="B360" s="1154" t="s">
        <v>3234</v>
      </c>
      <c r="C360" s="1154" t="s">
        <v>3292</v>
      </c>
      <c r="D360" s="1154" t="str">
        <f>IF(Input!$K$81=1,Übersetzungen!A360,IF(Input!$K$81=2,Übersetzungen!B360,Übersetzungen!C360))</f>
        <v>ALTERSVORSORGE (SPAREN AB 20)</v>
      </c>
    </row>
    <row r="361" spans="1:16" x14ac:dyDescent="0.25">
      <c r="A361" s="1154" t="s">
        <v>3189</v>
      </c>
      <c r="B361" s="1154" t="s">
        <v>3235</v>
      </c>
      <c r="C361" s="1154" t="s">
        <v>3293</v>
      </c>
      <c r="D361" s="1154" t="str">
        <f>IF(Input!$K$81=1,Übersetzungen!A361,IF(Input!$K$81=2,Übersetzungen!B361,Übersetzungen!C361))</f>
        <v>ALTERSVORSORGE</v>
      </c>
    </row>
    <row r="362" spans="1:16" ht="14.25" customHeight="1" x14ac:dyDescent="0.25">
      <c r="A362" s="1154" t="s">
        <v>3190</v>
      </c>
      <c r="B362" s="1154" t="s">
        <v>3236</v>
      </c>
      <c r="C362" s="1167" t="s">
        <v>3294</v>
      </c>
      <c r="D362" s="1154" t="str">
        <f>IF(Input!$K$81=1,Übersetzungen!A362,IF(Input!$K$81=2,Übersetzungen!B362,Übersetzungen!C362))</f>
        <v xml:space="preserve">Der Altersrücktritt ist zwischen den Altern 58 und 70 möglich. Zur Berechnung der jährlichen Altersrente wird das vorhandene Altersguthaben und allfällige Zusatzguthaben aus Einzahlungen für den vorzeitigen Altersrücktritt mit einem Prozentsatz umgewandelt (Umwandlungssatz). Der volle oder teilweise Kapitalbezug anstelle der Altersrente ist möglich und muss vor der ersten Rentenzahlung schriftlich beantragt werden. </v>
      </c>
      <c r="E362" s="1167"/>
      <c r="F362" s="1167"/>
      <c r="G362" s="1167"/>
      <c r="H362" s="1167"/>
      <c r="I362" s="1167"/>
      <c r="J362" s="1167"/>
      <c r="K362" s="1167"/>
      <c r="L362" s="1167"/>
      <c r="M362" s="1167"/>
      <c r="N362" s="1167"/>
      <c r="O362" s="1167"/>
      <c r="P362" s="1167"/>
    </row>
    <row r="363" spans="1:16" ht="14.25" customHeight="1" x14ac:dyDescent="0.25">
      <c r="A363" s="1154" t="s">
        <v>3980</v>
      </c>
      <c r="B363" s="1154" t="s">
        <v>3981</v>
      </c>
      <c r="C363" s="1167" t="s">
        <v>3814</v>
      </c>
      <c r="D363" s="1154" t="str">
        <f>IF(Input!$K$81=1,Übersetzungen!A363,IF(Input!$K$81=2,Übersetzungen!B363,Übersetzungen!C363))</f>
        <v>Seit dem 1. Januar 2021 ist die Umwandlung in eine Altersrente bis zu einem vorhandenen Altersguthaben von CHF 1.5 Mio. (Verrentungsgrenze) möglich. Das diesen Betrag übersteigende Altersguthaben ist in Kapitalform zu beziehen.</v>
      </c>
      <c r="E363" s="1167"/>
      <c r="F363" s="1167"/>
      <c r="G363" s="1167"/>
      <c r="H363" s="1167"/>
      <c r="I363" s="1167"/>
      <c r="J363" s="1167"/>
      <c r="K363" s="1167"/>
      <c r="L363" s="1167"/>
      <c r="M363" s="1167"/>
      <c r="N363" s="1167"/>
      <c r="O363" s="1167"/>
      <c r="P363" s="1167"/>
    </row>
    <row r="364" spans="1:16" x14ac:dyDescent="0.25">
      <c r="A364" s="1154" t="s">
        <v>3819</v>
      </c>
      <c r="B364" s="1154" t="s">
        <v>3820</v>
      </c>
      <c r="C364" s="1154" t="s">
        <v>3821</v>
      </c>
      <c r="D364" s="1154" t="str">
        <f>IF(Input!$K$81=1,Übersetzungen!A364,IF(Input!$K$81=2,Übersetzungen!B364,Übersetzungen!C364))</f>
        <v>Die Umwandlungssätze (UWS) sind im Anhang II zum Vorsorgereglement definiert (siehe http://www.pat-bvg.ch).</v>
      </c>
    </row>
    <row r="365" spans="1:16" x14ac:dyDescent="0.25">
      <c r="A365" s="1154" t="s">
        <v>3191</v>
      </c>
      <c r="B365" s="1154" t="s">
        <v>3237</v>
      </c>
      <c r="C365" s="1154" t="s">
        <v>3295</v>
      </c>
      <c r="D365" s="1154" t="str">
        <f>IF(Input!$K$81=1,Übersetzungen!A365,IF(Input!$K$81=2,Übersetzungen!B365,Übersetzungen!C365))</f>
        <v>Bei Pensionierung ab dem ordentlichen AHV-Alter beträgt die Alterskinderrente 20% der Altersrente im ordentlichen AHV-Alter. Bei vorzeitiger Pensionierung berechnet sich die Alterskinderrente gemäss BVG.</v>
      </c>
    </row>
    <row r="366" spans="1:16" x14ac:dyDescent="0.25">
      <c r="A366" s="1154" t="s">
        <v>3192</v>
      </c>
      <c r="B366" s="1154" t="s">
        <v>3238</v>
      </c>
      <c r="C366" s="1154" t="s">
        <v>3296</v>
      </c>
      <c r="D366" s="1154" t="str">
        <f>IF(Input!$K$81=1,Übersetzungen!A366,IF(Input!$K$81=2,Übersetzungen!B366,Übersetzungen!C366))</f>
        <v>Die Alterskinderrente wird in jedem Pensionierungsalter gemäss BVG-Minimum berechnet.</v>
      </c>
    </row>
    <row r="367" spans="1:16" x14ac:dyDescent="0.25">
      <c r="A367" s="1154" t="s">
        <v>1472</v>
      </c>
      <c r="B367" s="1154" t="s">
        <v>3239</v>
      </c>
      <c r="C367" s="1154" t="s">
        <v>3297</v>
      </c>
      <c r="D367" s="1154" t="str">
        <f>IF(Input!$K$81=1,Übersetzungen!A367,IF(Input!$K$81=2,Übersetzungen!B367,Übersetzungen!C367))</f>
        <v>Zusätzlicher Sparbeitrag</v>
      </c>
    </row>
    <row r="368" spans="1:16" x14ac:dyDescent="0.25">
      <c r="A368" s="1154" t="s">
        <v>3193</v>
      </c>
      <c r="B368" s="1154" t="s">
        <v>3240</v>
      </c>
      <c r="C368" s="1154" t="s">
        <v>3298</v>
      </c>
      <c r="D368" s="1154" t="str">
        <f>IF(Input!$K$81=1,Übersetzungen!A368,IF(Input!$K$81=2,Übersetzungen!B368,Übersetzungen!C368))</f>
        <v>Es ist kein zusätzlicher Sparbeitrag vereinbart (Module ZS).</v>
      </c>
    </row>
    <row r="369" spans="1:4" x14ac:dyDescent="0.25">
      <c r="A369" s="1154" t="s">
        <v>3194</v>
      </c>
      <c r="B369" s="1154" t="s">
        <v>3241</v>
      </c>
      <c r="C369" s="1154" t="s">
        <v>3299</v>
      </c>
      <c r="D369" s="1154" t="str">
        <f>IF(Input!$K$81=1,Übersetzungen!A369,IF(Input!$K$81=2,Übersetzungen!B369,Übersetzungen!C369))</f>
        <v>Die gewählten zusätzlichen Sparbeiträge aus dem Modul ZS sind in untenstehender Beitragstabelle im Sparbeitrag enthalten.</v>
      </c>
    </row>
    <row r="370" spans="1:4" x14ac:dyDescent="0.25">
      <c r="A370" s="1154" t="s">
        <v>1491</v>
      </c>
      <c r="B370" s="1154" t="s">
        <v>3242</v>
      </c>
      <c r="C370" s="1154" t="s">
        <v>3300</v>
      </c>
      <c r="D370" s="1154" t="str">
        <f>IF(Input!$K$81=1,Übersetzungen!A370,IF(Input!$K$81=2,Übersetzungen!B370,Übersetzungen!C370))</f>
        <v>RISIKOVORSORGE</v>
      </c>
    </row>
    <row r="371" spans="1:4" x14ac:dyDescent="0.25">
      <c r="A371" s="1154" t="s">
        <v>1473</v>
      </c>
      <c r="B371" s="1154" t="s">
        <v>3243</v>
      </c>
      <c r="C371" s="1154" t="s">
        <v>3301</v>
      </c>
      <c r="D371" s="1154" t="str">
        <f>IF(Input!$K$81=1,Übersetzungen!A371,IF(Input!$K$81=2,Übersetzungen!B371,Übersetzungen!C371))</f>
        <v>Bei Tod oder Invalidität vor dem ordentlichen AHV-Alter betragen die jährlichen Leistungen:</v>
      </c>
    </row>
    <row r="372" spans="1:4" x14ac:dyDescent="0.25">
      <c r="A372" s="1154" t="s">
        <v>1474</v>
      </c>
      <c r="B372" s="1154" t="s">
        <v>3244</v>
      </c>
      <c r="C372" s="1154" t="s">
        <v>3302</v>
      </c>
      <c r="D372" s="1154" t="str">
        <f>IF(Input!$K$81=1,Übersetzungen!A372,IF(Input!$K$81=2,Übersetzungen!B372,Übersetzungen!C372))</f>
        <v>Volle Invalidenrente</v>
      </c>
    </row>
    <row r="373" spans="1:4" x14ac:dyDescent="0.25">
      <c r="A373" s="1154" t="s">
        <v>1475</v>
      </c>
      <c r="B373" s="1154" t="s">
        <v>3245</v>
      </c>
      <c r="C373" s="1154" t="s">
        <v>3303</v>
      </c>
      <c r="D373" s="1154" t="str">
        <f>IF(Input!$K$81=1,Übersetzungen!A373,IF(Input!$K$81=2,Übersetzungen!B373,Übersetzungen!C373))</f>
        <v>Invaliden-Kinderrente</v>
      </c>
    </row>
    <row r="374" spans="1:4" x14ac:dyDescent="0.25">
      <c r="A374" s="1154" t="s">
        <v>1476</v>
      </c>
      <c r="B374" s="1154" t="s">
        <v>3246</v>
      </c>
      <c r="C374" s="1154" t="s">
        <v>3304</v>
      </c>
      <c r="D374" s="1154" t="str">
        <f>IF(Input!$K$81=1,Übersetzungen!A374,IF(Input!$K$81=2,Übersetzungen!B374,Übersetzungen!C374))</f>
        <v>Ehe- oder Lebenspartnerrente</v>
      </c>
    </row>
    <row r="375" spans="1:4" x14ac:dyDescent="0.25">
      <c r="A375" s="1154" t="s">
        <v>1037</v>
      </c>
      <c r="B375" s="1154" t="s">
        <v>3247</v>
      </c>
      <c r="C375" s="1154" t="s">
        <v>3305</v>
      </c>
      <c r="D375" s="1154" t="str">
        <f>IF(Input!$K$81=1,Übersetzungen!A375,IF(Input!$K$81=2,Übersetzungen!B375,Übersetzungen!C375))</f>
        <v>Waisenrente</v>
      </c>
    </row>
    <row r="376" spans="1:4" x14ac:dyDescent="0.25">
      <c r="A376" s="1154" t="s">
        <v>3195</v>
      </c>
      <c r="B376" s="1154" t="s">
        <v>3251</v>
      </c>
      <c r="C376" s="1154" t="s">
        <v>2621</v>
      </c>
      <c r="D376" s="1154" t="str">
        <f>IF(Input!$K$81=1,Übersetzungen!A376,IF(Input!$K$81=2,Übersetzungen!B376,Übersetzungen!C376))</f>
        <v>Altersrente</v>
      </c>
    </row>
    <row r="377" spans="1:4" x14ac:dyDescent="0.25">
      <c r="A377" s="1154" t="s">
        <v>3196</v>
      </c>
      <c r="B377" s="1154" t="s">
        <v>3252</v>
      </c>
      <c r="C377" s="1154" t="s">
        <v>3252</v>
      </c>
      <c r="D377" s="1154" t="str">
        <f>IF(Input!$K$81=1,Übersetzungen!A377,IF(Input!$K$81=2,Übersetzungen!B377,Übersetzungen!C377))</f>
        <v>UWS%</v>
      </c>
    </row>
    <row r="378" spans="1:4" x14ac:dyDescent="0.25">
      <c r="A378" s="1154" t="s">
        <v>3197</v>
      </c>
      <c r="B378" s="1154" t="s">
        <v>3248</v>
      </c>
      <c r="C378" s="1154" t="s">
        <v>3306</v>
      </c>
      <c r="D378" s="1154" t="str">
        <f>IF(Input!$K$81=1,Übersetzungen!A378,IF(Input!$K$81=2,Übersetzungen!B378,Übersetzungen!C378))</f>
        <v>des voraussichtlichen Altersguthabens, ohne Zins</v>
      </c>
    </row>
    <row r="379" spans="1:4" x14ac:dyDescent="0.25">
      <c r="A379" s="1154" t="s">
        <v>3198</v>
      </c>
      <c r="B379" s="1154" t="s">
        <v>3249</v>
      </c>
      <c r="C379" s="1154" t="s">
        <v>3307</v>
      </c>
      <c r="D379" s="1154" t="str">
        <f>IF(Input!$K$81=1,Übersetzungen!A379,IF(Input!$K$81=2,Übersetzungen!B379,Übersetzungen!C379))</f>
        <v>des voraussichtlichen BVG-Altersguthabens, ohne Zins</v>
      </c>
    </row>
    <row r="380" spans="1:4" x14ac:dyDescent="0.25">
      <c r="A380" s="1154" t="s">
        <v>3199</v>
      </c>
      <c r="B380" s="1154" t="s">
        <v>3250</v>
      </c>
      <c r="C380" s="1154" t="s">
        <v>3308</v>
      </c>
      <c r="D380" s="1154" t="str">
        <f>IF(Input!$K$81=1,Übersetzungen!A380,IF(Input!$K$81=2,Übersetzungen!B380,Übersetzungen!C380))</f>
        <v>des versicherten Lohnes</v>
      </c>
    </row>
    <row r="381" spans="1:4" x14ac:dyDescent="0.25">
      <c r="A381" s="1154" t="s">
        <v>3200</v>
      </c>
      <c r="B381" s="1154" t="s">
        <v>3253</v>
      </c>
      <c r="C381" s="1154" t="s">
        <v>3309</v>
      </c>
      <c r="D381" s="1154" t="str">
        <f>IF(Input!$K$81=1,Übersetzungen!A381,IF(Input!$K$81=2,Übersetzungen!B381,Übersetzungen!C381))</f>
        <v>der versicherten Invalidenrente</v>
      </c>
    </row>
    <row r="382" spans="1:4" x14ac:dyDescent="0.25">
      <c r="A382" s="1154" t="s">
        <v>3201</v>
      </c>
      <c r="B382" s="1154" t="s">
        <v>3254</v>
      </c>
      <c r="C382" s="1154" t="s">
        <v>3310</v>
      </c>
      <c r="D382" s="1154" t="str">
        <f>IF(Input!$K$81=1,Übersetzungen!A382,IF(Input!$K$81=2,Übersetzungen!B382,Übersetzungen!C382))</f>
        <v>der versicherten Altersrente</v>
      </c>
    </row>
    <row r="383" spans="1:4" x14ac:dyDescent="0.25">
      <c r="A383" s="1154" t="s">
        <v>3202</v>
      </c>
      <c r="B383" s="1154" t="s">
        <v>3255</v>
      </c>
      <c r="C383" s="1154" t="s">
        <v>3311</v>
      </c>
      <c r="D383" s="1154" t="str">
        <f>IF(Input!$K$81=1,Übersetzungen!A383,IF(Input!$K$81=2,Übersetzungen!B383,Übersetzungen!C383))</f>
        <v>der versicherten Altersrente im AHV-Alter</v>
      </c>
    </row>
    <row r="384" spans="1:4" x14ac:dyDescent="0.25">
      <c r="A384" s="1154" t="s">
        <v>3203</v>
      </c>
      <c r="B384" s="1154" t="s">
        <v>3256</v>
      </c>
      <c r="C384" s="1154" t="s">
        <v>2923</v>
      </c>
      <c r="D384" s="1154" t="str">
        <f>IF(Input!$K$81=1,Übersetzungen!A384,IF(Input!$K$81=2,Übersetzungen!B384,Übersetzungen!C384))</f>
        <v>Zusätzlich versichertes Todesfallkapital</v>
      </c>
    </row>
    <row r="385" spans="1:4" x14ac:dyDescent="0.25">
      <c r="A385" s="1154" t="s">
        <v>3204</v>
      </c>
      <c r="B385" s="1154" t="s">
        <v>3257</v>
      </c>
      <c r="C385" s="1154" t="s">
        <v>3312</v>
      </c>
      <c r="D385" s="1154" t="str">
        <f>IF(Input!$K$81=1,Übersetzungen!A385,IF(Input!$K$81=2,Übersetzungen!B385,Übersetzungen!C385))</f>
        <v>Total AGH</v>
      </c>
    </row>
    <row r="386" spans="1:4" x14ac:dyDescent="0.25">
      <c r="A386" s="1154" t="s">
        <v>3205</v>
      </c>
      <c r="B386" s="1154" t="s">
        <v>3258</v>
      </c>
      <c r="C386" s="1154" t="s">
        <v>3313</v>
      </c>
      <c r="D386" s="1154" t="str">
        <f>IF(Input!$K$81=1,Übersetzungen!A386,IF(Input!$K$81=2,Übersetzungen!B386,Übersetzungen!C386))</f>
        <v>Auszahlung des gesamten vorhandenen Altersguthabens</v>
      </c>
    </row>
    <row r="387" spans="1:4" x14ac:dyDescent="0.25">
      <c r="A387" s="1154" t="s">
        <v>3199</v>
      </c>
      <c r="B387" s="1154" t="s">
        <v>3250</v>
      </c>
      <c r="C387" s="1154" t="s">
        <v>3308</v>
      </c>
      <c r="D387" s="1154" t="str">
        <f>IF(Input!$K$81=1,Übersetzungen!A387,IF(Input!$K$81=2,Übersetzungen!B387,Übersetzungen!C387))</f>
        <v>des versicherten Lohnes</v>
      </c>
    </row>
    <row r="388" spans="1:4" x14ac:dyDescent="0.25">
      <c r="A388" s="1154" t="s">
        <v>2919</v>
      </c>
      <c r="B388" s="1154" t="s">
        <v>2920</v>
      </c>
      <c r="C388" s="1154" t="s">
        <v>2921</v>
      </c>
      <c r="D388" s="1154" t="str">
        <f>IF(Input!$K$81=1,Übersetzungen!A388,IF(Input!$K$81=2,Übersetzungen!B388,Übersetzungen!C388))</f>
        <v>Reglementarisches Todesfallkapital</v>
      </c>
    </row>
    <row r="389" spans="1:4" x14ac:dyDescent="0.25">
      <c r="A389" s="1154" t="s">
        <v>3206</v>
      </c>
      <c r="B389" s="1154" t="s">
        <v>3259</v>
      </c>
      <c r="C389" s="1154" t="s">
        <v>3314</v>
      </c>
      <c r="D389" s="1154" t="str">
        <f>IF(Input!$K$81=1,Übersetzungen!A389,IF(Input!$K$81=2,Übersetzungen!B389,Übersetzungen!C389))</f>
        <v>gemäss Ziffer 16 des Vorsorgereglements</v>
      </c>
    </row>
    <row r="390" spans="1:4" x14ac:dyDescent="0.25">
      <c r="A390" s="1154" t="s">
        <v>3207</v>
      </c>
      <c r="B390" s="1154" t="s">
        <v>3260</v>
      </c>
      <c r="C390" s="1154" t="s">
        <v>3315</v>
      </c>
      <c r="D390" s="1154" t="str">
        <f>IF(Input!$K$81=1,Übersetzungen!A390,IF(Input!$K$81=2,Übersetzungen!B390,Übersetzungen!C390))</f>
        <v xml:space="preserve">* Der versicherte Lohn beträgt mindestens </v>
      </c>
    </row>
    <row r="391" spans="1:4" x14ac:dyDescent="0.25">
      <c r="A391" s="1154" t="s">
        <v>1477</v>
      </c>
      <c r="B391" s="1154" t="s">
        <v>3261</v>
      </c>
      <c r="C391" s="1154" t="s">
        <v>3316</v>
      </c>
      <c r="D391" s="1154" t="str">
        <f>IF(Input!$K$81=1,Übersetzungen!A391,IF(Input!$K$81=2,Übersetzungen!B391,Übersetzungen!C391))</f>
        <v>Der Anspruch auf Kinderrenten besteht bis Alter 20 bzw. Alter 25, wenn das Kind in Ausbildung ist.</v>
      </c>
    </row>
    <row r="392" spans="1:4" x14ac:dyDescent="0.25">
      <c r="A392" s="1154" t="s">
        <v>3208</v>
      </c>
      <c r="B392" s="1154" t="s">
        <v>3262</v>
      </c>
      <c r="C392" s="1154" t="s">
        <v>3317</v>
      </c>
      <c r="D392" s="1154" t="str">
        <f>IF(Input!$K$81=1,Übersetzungen!A392,IF(Input!$K$81=2,Übersetzungen!B392,Übersetzungen!C392))</f>
        <v>Im Todesfall oder bei Invalidität kommt das Kapital zur Auszahlung.</v>
      </c>
    </row>
    <row r="393" spans="1:4" x14ac:dyDescent="0.25">
      <c r="A393" s="1154" t="s">
        <v>3209</v>
      </c>
      <c r="B393" s="1154" t="s">
        <v>3263</v>
      </c>
      <c r="C393" s="1154" t="s">
        <v>3318</v>
      </c>
      <c r="D393" s="1154" t="str">
        <f>IF(Input!$K$81=1,Übersetzungen!A393,IF(Input!$K$81=2,Übersetzungen!B393,Übersetzungen!C393))</f>
        <v>Die Wartefrist für die Invalidenrente beträgt 720 Tage. Es besteht eine Kollektivkrankentaggeldversicherung mit BVG-koordinierter Leistungsdauer von 720 Tagen.</v>
      </c>
    </row>
    <row r="394" spans="1:4" x14ac:dyDescent="0.25">
      <c r="A394" s="1154" t="s">
        <v>3210</v>
      </c>
      <c r="B394" s="1154" t="s">
        <v>3264</v>
      </c>
      <c r="C394" s="1154" t="s">
        <v>3319</v>
      </c>
      <c r="D394" s="1154" t="str">
        <f>IF(Input!$K$81=1,Übersetzungen!A394,IF(Input!$K$81=2,Übersetzungen!B394,Übersetzungen!C394))</f>
        <v xml:space="preserve">Die Wartefrist für die Invalidenrente beträgt 720 Tage. Es besteht eine Taggeldversicherung (Krankheit und Unfall) von 720 Tagen.  </v>
      </c>
    </row>
    <row r="395" spans="1:4" x14ac:dyDescent="0.25">
      <c r="A395" s="1154" t="s">
        <v>3211</v>
      </c>
      <c r="B395" s="1154" t="s">
        <v>3265</v>
      </c>
      <c r="C395" s="1154" t="s">
        <v>3320</v>
      </c>
      <c r="D395" s="1154" t="str">
        <f>IF(Input!$K$81=1,Übersetzungen!A395,IF(Input!$K$81=2,Übersetzungen!B395,Übersetzungen!C395))</f>
        <v>Die Wartefrist für die Invalidenrente beträgt 360 Tage, bzw. endet frühestens mit der Leistungsausrichtung der Eidg. Invalidenversicherung.</v>
      </c>
    </row>
    <row r="396" spans="1:4" x14ac:dyDescent="0.25">
      <c r="A396" s="1154" t="s">
        <v>3212</v>
      </c>
      <c r="B396" s="1154" t="s">
        <v>3266</v>
      </c>
      <c r="C396" s="1154" t="s">
        <v>3321</v>
      </c>
      <c r="D396" s="1154" t="str">
        <f>IF(Input!$K$81=1,Übersetzungen!A396,IF(Input!$K$81=2,Übersetzungen!B396,Übersetzungen!C396))</f>
        <v>Bei Arbeitsunfähigkeit oder Invalidität werden die Altersgutschriften gemäss Plan gutgeschrieben. Die Wartefrist für die Beitragsbefreiung beträgt 6 Monate.</v>
      </c>
    </row>
    <row r="397" spans="1:4" x14ac:dyDescent="0.25">
      <c r="A397" s="1154" t="s">
        <v>3323</v>
      </c>
      <c r="B397" s="1154" t="s">
        <v>3267</v>
      </c>
      <c r="C397" s="1154" t="s">
        <v>3322</v>
      </c>
      <c r="D397" s="1154" t="str">
        <f>IF(Input!$K$81=1,Übersetzungen!A397,IF(Input!$K$81=2,Übersetzungen!B397,Übersetzungen!C397))</f>
        <v>Bei Arbeitsunfähigkeit oder Invalidität werden die Altersgutschriften gemäss BVG gutgeschrieben. Der beitragsbefreite Lohn wird gemäss BVG bestimmt. Die Wartefrist für die Beitragsbefreiung beträgt 6 Monate.</v>
      </c>
    </row>
    <row r="398" spans="1:4" x14ac:dyDescent="0.25">
      <c r="A398" s="1154" t="s">
        <v>1165</v>
      </c>
      <c r="B398" s="1154" t="s">
        <v>3061</v>
      </c>
      <c r="C398" s="1154" t="s">
        <v>3093</v>
      </c>
      <c r="D398" s="1154" t="str">
        <f>IF(Input!$K$81=1,Übersetzungen!A398,IF(Input!$K$81=2,Übersetzungen!B398,Übersetzungen!C398))</f>
        <v>BEITRÄGE</v>
      </c>
    </row>
    <row r="399" spans="1:4" x14ac:dyDescent="0.25">
      <c r="A399" s="1154" t="s">
        <v>3213</v>
      </c>
      <c r="B399" s="1154" t="s">
        <v>3268</v>
      </c>
      <c r="C399" s="1154" t="s">
        <v>3324</v>
      </c>
      <c r="D399" s="1154" t="str">
        <f>IF(Input!$K$81=1,Übersetzungen!A399,IF(Input!$K$81=2,Übersetzungen!B399,Übersetzungen!C399))</f>
        <v>Die Beiträge in Prozent des versicherten Lohnes betragen für Frauen und Männer:</v>
      </c>
    </row>
    <row r="400" spans="1:4" x14ac:dyDescent="0.25">
      <c r="A400" s="1154" t="s">
        <v>1478</v>
      </c>
      <c r="B400" s="1154" t="s">
        <v>2826</v>
      </c>
      <c r="C400" s="1154" t="s">
        <v>2827</v>
      </c>
      <c r="D400" s="1154" t="str">
        <f>IF(Input!$K$81=1,Übersetzungen!A400,IF(Input!$K$81=2,Übersetzungen!B400,Übersetzungen!C400))</f>
        <v xml:space="preserve"> Alter</v>
      </c>
    </row>
    <row r="401" spans="1:4" x14ac:dyDescent="0.25">
      <c r="A401" s="1154" t="s">
        <v>1479</v>
      </c>
      <c r="B401" s="1154" t="s">
        <v>2937</v>
      </c>
      <c r="C401" s="1154" t="s">
        <v>3325</v>
      </c>
      <c r="D401" s="1154" t="str">
        <f>IF(Input!$K$81=1,Übersetzungen!A401,IF(Input!$K$81=2,Übersetzungen!B401,Übersetzungen!C401))</f>
        <v>Sparbeitrag</v>
      </c>
    </row>
    <row r="402" spans="1:4" ht="27.6" x14ac:dyDescent="0.25">
      <c r="A402" s="1154" t="s">
        <v>3214</v>
      </c>
      <c r="B402" s="1161" t="s">
        <v>3275</v>
      </c>
      <c r="C402" s="1154" t="s">
        <v>3327</v>
      </c>
      <c r="D402" s="1154" t="str">
        <f>IF(Input!$K$81=1,Übersetzungen!A402,IF(Input!$K$81=2,Übersetzungen!B402,Übersetzungen!C402))</f>
        <v>Risikobeitrag**</v>
      </c>
    </row>
    <row r="403" spans="1:4" ht="27.6" x14ac:dyDescent="0.25">
      <c r="A403" s="1154" t="s">
        <v>3215</v>
      </c>
      <c r="B403" s="1161" t="s">
        <v>3269</v>
      </c>
      <c r="C403" s="1154" t="s">
        <v>3326</v>
      </c>
      <c r="D403" s="1154" t="str">
        <f>IF(Input!$K$81=1,Übersetzungen!A403,IF(Input!$K$81=2,Übersetzungen!B403,Übersetzungen!C403))</f>
        <v>Risikobeitrag</v>
      </c>
    </row>
    <row r="404" spans="1:4" x14ac:dyDescent="0.25">
      <c r="A404" s="1154" t="s">
        <v>1493</v>
      </c>
      <c r="B404" s="1154" t="s">
        <v>3270</v>
      </c>
      <c r="C404" s="1154" t="s">
        <v>3328</v>
      </c>
      <c r="D404" s="1154" t="str">
        <f>IF(Input!$K$81=1,Übersetzungen!A404,IF(Input!$K$81=2,Übersetzungen!B404,Übersetzungen!C404))</f>
        <v>Total Beiträge*</v>
      </c>
    </row>
    <row r="405" spans="1:4" ht="27.6" x14ac:dyDescent="0.25">
      <c r="A405" s="1154" t="s">
        <v>1480</v>
      </c>
      <c r="B405" s="1161" t="s">
        <v>3271</v>
      </c>
      <c r="C405" s="1161" t="s">
        <v>3329</v>
      </c>
      <c r="D405" s="1154" t="str">
        <f>IF(Input!$K$81=1,Übersetzungen!A405,IF(Input!$K$81=2,Übersetzungen!B405,Übersetzungen!C405))</f>
        <v>Anteil
 Arbeitnehmer</v>
      </c>
    </row>
    <row r="406" spans="1:4" ht="27.6" x14ac:dyDescent="0.25">
      <c r="A406" s="1154" t="s">
        <v>1481</v>
      </c>
      <c r="B406" s="1161" t="s">
        <v>3272</v>
      </c>
      <c r="C406" s="1161" t="s">
        <v>3330</v>
      </c>
      <c r="D406" s="1154" t="str">
        <f>IF(Input!$K$81=1,Übersetzungen!A406,IF(Input!$K$81=2,Übersetzungen!B406,Übersetzungen!C406))</f>
        <v>Anteil
Arbeitgeber</v>
      </c>
    </row>
    <row r="407" spans="1:4" x14ac:dyDescent="0.25">
      <c r="A407" s="1154" t="s">
        <v>3216</v>
      </c>
      <c r="B407" s="1154" t="s">
        <v>3273</v>
      </c>
      <c r="C407" s="1154" t="s">
        <v>3331</v>
      </c>
      <c r="D407" s="1154" t="str">
        <f>IF(Input!$K$81=1,Übersetzungen!A407,IF(Input!$K$81=2,Übersetzungen!B407,Übersetzungen!C407))</f>
        <v>* Zusätzlich wird eine Verwaltungskostenpauschale von total CHF 192 erhoben.</v>
      </c>
    </row>
    <row r="408" spans="1:4" x14ac:dyDescent="0.25">
      <c r="A408" s="1154" t="s">
        <v>3217</v>
      </c>
      <c r="B408" s="1154" t="s">
        <v>3274</v>
      </c>
      <c r="C408" s="1154" t="s">
        <v>3332</v>
      </c>
      <c r="D408" s="1154" t="str">
        <f>IF(Input!$K$81=1,Übersetzungen!A408,IF(Input!$K$81=2,Übersetzungen!B408,Übersetzungen!C408))</f>
        <v>** Gemäss BVG müssen die Risikobeiträge mindestens 6% der Gesamtbeiträge betragen (s. Versicherungsausweis).</v>
      </c>
    </row>
    <row r="414" spans="1:4" ht="21" x14ac:dyDescent="0.4">
      <c r="A414" s="1153" t="s">
        <v>3340</v>
      </c>
    </row>
    <row r="416" spans="1:4" x14ac:dyDescent="0.25">
      <c r="A416" s="1154" t="s">
        <v>2158</v>
      </c>
      <c r="B416" s="1154" t="s">
        <v>3346</v>
      </c>
      <c r="C416" s="1154" t="s">
        <v>3374</v>
      </c>
      <c r="D416" s="1154" t="str">
        <f>IF(Input!$K$81=1,Übersetzungen!A416,IF(Input!$K$81=2,Übersetzungen!B416,Übersetzungen!C416))</f>
        <v>Berechnung der Angemessenheit gemäss Art. 1 BVV 2</v>
      </c>
    </row>
    <row r="417" spans="1:4" x14ac:dyDescent="0.25">
      <c r="A417" s="1154" t="s">
        <v>2138</v>
      </c>
      <c r="B417" s="1154" t="s">
        <v>3347</v>
      </c>
      <c r="C417" s="1154" t="s">
        <v>3375</v>
      </c>
      <c r="D417" s="1154" t="str">
        <f>IF(Input!$K$81=1,Übersetzungen!A417,IF(Input!$K$81=2,Übersetzungen!B417,Übersetzungen!C417))</f>
        <v>Übersteuerung tatsächliches AHV-Einkommen:</v>
      </c>
    </row>
    <row r="418" spans="1:4" x14ac:dyDescent="0.25">
      <c r="A418" s="1154" t="s">
        <v>2136</v>
      </c>
      <c r="B418" s="1154" t="s">
        <v>3348</v>
      </c>
      <c r="C418" s="1154" t="s">
        <v>3376</v>
      </c>
      <c r="D418" s="1154" t="str">
        <f>IF(Input!$K$81=1,Übersetzungen!A418,IF(Input!$K$81=2,Übersetzungen!B418,Übersetzungen!C418))</f>
        <v>BERECHNUNG DER ANGEMESSENHEIT GEMÄSS ART. 1 BVV 2</v>
      </c>
    </row>
    <row r="419" spans="1:4" x14ac:dyDescent="0.25">
      <c r="A419" s="1154" t="s">
        <v>3341</v>
      </c>
      <c r="B419" s="1154" t="s">
        <v>3349</v>
      </c>
      <c r="C419" s="1154" t="s">
        <v>3377</v>
      </c>
      <c r="D419" s="1154" t="str">
        <f>IF(Input!$K$81=1,Übersetzungen!A419,IF(Input!$K$81=2,Übersetzungen!B419,Übersetzungen!C419))</f>
        <v>Keine Berechnung möglich bei Jahreslöhnen unter CHF 50'000.</v>
      </c>
    </row>
    <row r="420" spans="1:4" x14ac:dyDescent="0.25">
      <c r="A420" s="1154" t="s">
        <v>3342</v>
      </c>
      <c r="B420" s="1154" t="s">
        <v>3350</v>
      </c>
      <c r="C420" s="1154" t="s">
        <v>3378</v>
      </c>
      <c r="D420" s="1154" t="str">
        <f>IF(Input!$K$81=1,Übersetzungen!A420,IF(Input!$K$81=2,Übersetzungen!B420,Übersetzungen!C420))</f>
        <v>Keine Berechnung möglich, da zu tiefe überobligatorische Leistungen.</v>
      </c>
    </row>
    <row r="421" spans="1:4" x14ac:dyDescent="0.25">
      <c r="A421" s="1154" t="s">
        <v>2141</v>
      </c>
      <c r="B421" s="1154" t="s">
        <v>3351</v>
      </c>
      <c r="C421" s="1154" t="s">
        <v>3379</v>
      </c>
      <c r="D421" s="1154" t="str">
        <f>IF(Input!$K$81=1,Übersetzungen!A421,IF(Input!$K$81=2,Übersetzungen!B421,Übersetzungen!C421))</f>
        <v xml:space="preserve">Definition der Angemessenheit gemäss Art. 1 BVV 2: </v>
      </c>
    </row>
    <row r="422" spans="1:4" x14ac:dyDescent="0.25">
      <c r="A422" s="1154" t="s">
        <v>2142</v>
      </c>
      <c r="B422" s="1154" t="s">
        <v>3352</v>
      </c>
      <c r="C422" s="1154" t="s">
        <v>3380</v>
      </c>
      <c r="D422" s="1154" t="str">
        <f>IF(Input!$K$81=1,Übersetzungen!A422,IF(Input!$K$81=2,Übersetzungen!B422,Übersetzungen!C422))</f>
        <v>AHV- und PK-Renten betragen nicht mehr als 85% des AHV-Einkommens.</v>
      </c>
    </row>
    <row r="423" spans="1:4" x14ac:dyDescent="0.25">
      <c r="A423" s="1154" t="s">
        <v>2143</v>
      </c>
      <c r="B423" s="1154" t="s">
        <v>3353</v>
      </c>
      <c r="C423" s="1154" t="s">
        <v>3381</v>
      </c>
      <c r="D423" s="1154" t="str">
        <f>IF(Input!$K$81=1,Übersetzungen!A423,IF(Input!$K$81=2,Übersetzungen!B423,Übersetzungen!C423))</f>
        <v>Voraussichtliche Altersrente in CHF, projiziert mit Zins*</v>
      </c>
    </row>
    <row r="424" spans="1:4" x14ac:dyDescent="0.25">
      <c r="A424" s="1154" t="s">
        <v>2902</v>
      </c>
      <c r="B424" s="1154" t="s">
        <v>3354</v>
      </c>
      <c r="C424" s="1154" t="s">
        <v>3382</v>
      </c>
      <c r="D424" s="1154" t="str">
        <f>IF(Input!$K$81=1,Übersetzungen!A424,IF(Input!$K$81=2,Übersetzungen!B424,Übersetzungen!C424))</f>
        <v>im Alter 65</v>
      </c>
    </row>
    <row r="425" spans="1:4" x14ac:dyDescent="0.25">
      <c r="A425" s="1154" t="s">
        <v>2903</v>
      </c>
      <c r="B425" s="1154" t="s">
        <v>3355</v>
      </c>
      <c r="C425" s="1154" t="s">
        <v>3383</v>
      </c>
      <c r="D425" s="1154" t="str">
        <f>IF(Input!$K$81=1,Übersetzungen!A425,IF(Input!$K$81=2,Übersetzungen!B425,Übersetzungen!C425))</f>
        <v>im Alter 64</v>
      </c>
    </row>
    <row r="426" spans="1:4" x14ac:dyDescent="0.25">
      <c r="A426" s="1154" t="s">
        <v>2144</v>
      </c>
      <c r="B426" s="1154" t="s">
        <v>3356</v>
      </c>
      <c r="C426" s="1154" t="s">
        <v>3384</v>
      </c>
      <c r="D426" s="1154" t="str">
        <f>IF(Input!$K$81=1,Übersetzungen!A426,IF(Input!$K$81=2,Übersetzungen!B426,Übersetzungen!C426))</f>
        <v>Tatsächlicher AHV-Jahreslohn in CHF</v>
      </c>
    </row>
    <row r="427" spans="1:4" x14ac:dyDescent="0.25">
      <c r="A427" s="1154" t="s">
        <v>2145</v>
      </c>
      <c r="B427" s="1154" t="s">
        <v>3357</v>
      </c>
      <c r="C427" s="1154" t="s">
        <v>3385</v>
      </c>
      <c r="D427" s="1154" t="str">
        <f>IF(Input!$K$81=1,Übersetzungen!A427,IF(Input!$K$81=2,Übersetzungen!B427,Übersetzungen!C427))</f>
        <v>Angemessenheit für Renteneinkommen gem. Art. 1 BVV 2</v>
      </c>
    </row>
    <row r="428" spans="1:4" x14ac:dyDescent="0.25">
      <c r="A428" s="1154" t="s">
        <v>2146</v>
      </c>
      <c r="B428" s="1154" t="s">
        <v>3358</v>
      </c>
      <c r="C428" s="1154" t="s">
        <v>3386</v>
      </c>
      <c r="D428" s="1154" t="str">
        <f>IF(Input!$K$81=1,Übersetzungen!A428,IF(Input!$K$81=2,Übersetzungen!B428,Übersetzungen!C428))</f>
        <v>Annahme: maximale einfache AHV-Rente im AHV-Alter</v>
      </c>
    </row>
    <row r="429" spans="1:4" x14ac:dyDescent="0.25">
      <c r="A429" s="1154" t="s">
        <v>2148</v>
      </c>
      <c r="B429" s="1154" t="s">
        <v>3359</v>
      </c>
      <c r="C429" s="1154" t="s">
        <v>3387</v>
      </c>
      <c r="D429" s="1154" t="str">
        <f>IF(Input!$K$81=1,Übersetzungen!A429,IF(Input!$K$81=2,Übersetzungen!B429,Übersetzungen!C429))</f>
        <v xml:space="preserve">Maximal angemessene Pensionskassenrente </v>
      </c>
    </row>
    <row r="430" spans="1:4" x14ac:dyDescent="0.25">
      <c r="A430" s="1154" t="s">
        <v>2149</v>
      </c>
      <c r="B430" s="1154" t="s">
        <v>3360</v>
      </c>
      <c r="C430" s="1154" t="s">
        <v>3388</v>
      </c>
      <c r="D430" s="1154" t="str">
        <f>IF(Input!$K$81=1,Übersetzungen!A430,IF(Input!$K$81=2,Übersetzungen!B430,Übersetzungen!C430))</f>
        <v>Maximal zulässiges Renteneinkommen</v>
      </c>
    </row>
    <row r="431" spans="1:4" x14ac:dyDescent="0.25">
      <c r="A431" s="1154" t="s">
        <v>2150</v>
      </c>
      <c r="B431" s="1154" t="s">
        <v>3361</v>
      </c>
      <c r="C431" s="1154" t="s">
        <v>3389</v>
      </c>
      <c r="D431" s="1154" t="str">
        <f>IF(Input!$K$81=1,Übersetzungen!A431,IF(Input!$K$81=2,Übersetzungen!B431,Übersetzungen!C431))</f>
        <v>Möglicher Einkauf gemäss Vorsorgereglement</v>
      </c>
    </row>
    <row r="432" spans="1:4" x14ac:dyDescent="0.25">
      <c r="A432" s="1154" t="s">
        <v>3343</v>
      </c>
      <c r="B432" s="1154" t="s">
        <v>3362</v>
      </c>
      <c r="C432" s="1154" t="s">
        <v>3390</v>
      </c>
      <c r="D432" s="1154" t="str">
        <f>IF(Input!$K$81=1,Übersetzungen!A432,IF(Input!$K$81=2,Übersetzungen!B432,Übersetzungen!C432))</f>
        <v>voraussichtliches Altersendkapital aus maximalem Einkauf gemäss Vorsorgereglement</v>
      </c>
    </row>
    <row r="433" spans="1:4" x14ac:dyDescent="0.25">
      <c r="A433" s="1154" t="s">
        <v>2151</v>
      </c>
      <c r="B433" s="1154" t="s">
        <v>3363</v>
      </c>
      <c r="C433" s="1154" t="s">
        <v>3391</v>
      </c>
      <c r="D433" s="1154" t="str">
        <f>IF(Input!$K$81=1,Übersetzungen!A433,IF(Input!$K$81=2,Übersetzungen!B433,Übersetzungen!C433))</f>
        <v>Pensionskassenrente bei maximalem reglementarischem Einkauf</v>
      </c>
    </row>
    <row r="434" spans="1:4" x14ac:dyDescent="0.25">
      <c r="A434" s="1154" t="s">
        <v>2159</v>
      </c>
      <c r="B434" s="1154" t="s">
        <v>3364</v>
      </c>
      <c r="C434" s="1154" t="s">
        <v>3392</v>
      </c>
      <c r="D434" s="1154" t="str">
        <f>IF(Input!$K$81=1,Übersetzungen!A434,IF(Input!$K$81=2,Übersetzungen!B434,Übersetzungen!C434))</f>
        <v>Rentenüberschuss gegenüber maximal angemessener Pensionskassenrente</v>
      </c>
    </row>
    <row r="435" spans="1:4" x14ac:dyDescent="0.25">
      <c r="A435" s="1154" t="s">
        <v>2152</v>
      </c>
      <c r="B435" s="1154" t="s">
        <v>3365</v>
      </c>
      <c r="C435" s="1154" t="s">
        <v>3393</v>
      </c>
      <c r="D435" s="1154" t="str">
        <f>IF(Input!$K$81=1,Übersetzungen!A435,IF(Input!$K$81=2,Übersetzungen!B435,Übersetzungen!C435))</f>
        <v>Altersendkapitalüberschuss</v>
      </c>
    </row>
    <row r="436" spans="1:4" x14ac:dyDescent="0.25">
      <c r="A436" s="1154" t="s">
        <v>2153</v>
      </c>
      <c r="B436" s="1154" t="s">
        <v>3366</v>
      </c>
      <c r="C436" s="1154" t="s">
        <v>3394</v>
      </c>
      <c r="D436" s="1154" t="str">
        <f>IF(Input!$K$81=1,Übersetzungen!A436,IF(Input!$K$81=2,Übersetzungen!B436,Übersetzungen!C436))</f>
        <v>Reduktion reglementarischer maximaler Einkauf für Angemessenheit</v>
      </c>
    </row>
    <row r="437" spans="1:4" x14ac:dyDescent="0.25">
      <c r="A437" s="1154" t="s">
        <v>2154</v>
      </c>
      <c r="B437" s="1154" t="s">
        <v>3367</v>
      </c>
      <c r="C437" s="1154" t="s">
        <v>3395</v>
      </c>
      <c r="D437" s="1154" t="str">
        <f>IF(Input!$K$81=1,Übersetzungen!A437,IF(Input!$K$81=2,Übersetzungen!B437,Übersetzungen!C437))</f>
        <v>* Berücksichtigt werden nur vollständige Jahre, abdiskontiert mit dem BVG-Mindestzinssatz.</v>
      </c>
    </row>
    <row r="438" spans="1:4" x14ac:dyDescent="0.25">
      <c r="A438" s="1154" t="s">
        <v>2155</v>
      </c>
      <c r="B438" s="1154" t="s">
        <v>3368</v>
      </c>
      <c r="C438" s="1154" t="s">
        <v>3396</v>
      </c>
      <c r="D438" s="1154" t="str">
        <f>IF(Input!$K$81=1,Übersetzungen!A438,IF(Input!$K$81=2,Übersetzungen!B438,Übersetzungen!C438))</f>
        <v>MAXIMALER ANGEMESSENER EINKAUF PER BERECHNUNGSJAHR</v>
      </c>
    </row>
    <row r="439" spans="1:4" x14ac:dyDescent="0.25">
      <c r="A439" s="1154" t="s">
        <v>2162</v>
      </c>
      <c r="B439" s="1154" t="s">
        <v>3369</v>
      </c>
      <c r="C439" s="1154" t="s">
        <v>3397</v>
      </c>
      <c r="D439" s="1154" t="str">
        <f>IF(Input!$K$81=1,Übersetzungen!A439,IF(Input!$K$81=2,Übersetzungen!B439,Übersetzungen!C439))</f>
        <v>1) Annahme Berechnung der einfachen AHV-Altersrente:</v>
      </c>
    </row>
    <row r="440" spans="1:4" x14ac:dyDescent="0.25">
      <c r="A440" s="1159" t="s">
        <v>3344</v>
      </c>
      <c r="B440" s="1159" t="s">
        <v>3372</v>
      </c>
      <c r="C440" s="1159" t="s">
        <v>3398</v>
      </c>
      <c r="D440" s="1154" t="str">
        <f>IF(Input!$K$81=1,Übersetzungen!A440,IF(Input!$K$81=2,Übersetzungen!B440,Übersetzungen!C440))</f>
        <v>- bei Löhnen bis</v>
      </c>
    </row>
    <row r="441" spans="1:4" x14ac:dyDescent="0.25">
      <c r="A441" s="1154" t="s">
        <v>2156</v>
      </c>
      <c r="B441" s="1154" t="s">
        <v>3370</v>
      </c>
      <c r="C441" s="1154" t="s">
        <v>3399</v>
      </c>
      <c r="D441" s="1154" t="str">
        <f>IF(Input!$K$81=1,Übersetzungen!A441,IF(Input!$K$81=2,Übersetzungen!B441,Übersetzungen!C441))</f>
        <v>Annäherungswert = 20% des Jahreslohnes + 40% max. AHV-Altersrente</v>
      </c>
    </row>
    <row r="442" spans="1:4" x14ac:dyDescent="0.25">
      <c r="A442" s="1159" t="s">
        <v>3345</v>
      </c>
      <c r="B442" s="1159" t="s">
        <v>3371</v>
      </c>
      <c r="C442" s="1159" t="s">
        <v>3400</v>
      </c>
      <c r="D442" s="1154" t="str">
        <f>IF(Input!$K$81=1,Übersetzungen!A442,IF(Input!$K$81=2,Übersetzungen!B442,Übersetzungen!C442))</f>
        <v>- bei Löhnen über</v>
      </c>
    </row>
    <row r="443" spans="1:4" x14ac:dyDescent="0.25">
      <c r="A443" s="1154" t="s">
        <v>2157</v>
      </c>
      <c r="B443" s="1154" t="s">
        <v>3373</v>
      </c>
      <c r="C443" s="1154" t="s">
        <v>3401</v>
      </c>
      <c r="D443" s="1154" t="str">
        <f>IF(Input!$K$81=1,Übersetzungen!A443,IF(Input!$K$81=2,Übersetzungen!B443,Übersetzungen!C443))</f>
        <v>einfache maximale AHV-Altersrente</v>
      </c>
    </row>
  </sheetData>
  <sheetProtection algorithmName="SHA-512" hashValue="GpsaMAWW3DkPPqLZpTjReLvaIiam1AW7sm5ad/tsDyxG0Rj8wOv/GtzLnCXHCHXbz9zyAbMSH7gGjKzKDKbZ1g==" saltValue="mg5509cxLJ1HdqUYmqgYtw==" spinCount="100000"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R65"/>
  <sheetViews>
    <sheetView showGridLines="0" zoomScale="150" workbookViewId="0"/>
  </sheetViews>
  <sheetFormatPr baseColWidth="10" defaultColWidth="11.44140625" defaultRowHeight="12.6" x14ac:dyDescent="0.25"/>
  <cols>
    <col min="1" max="1" width="4.88671875" style="149" customWidth="1"/>
    <col min="2" max="2" width="23.109375" style="150" customWidth="1"/>
    <col min="3" max="3" width="15.109375" style="150" customWidth="1"/>
    <col min="4" max="4" width="14.44140625" style="150" customWidth="1"/>
    <col min="5" max="5" width="3.5546875" style="150" customWidth="1"/>
    <col min="6" max="6" width="3" style="150" customWidth="1"/>
    <col min="7" max="7" width="9.44140625" style="151" customWidth="1"/>
    <col min="8" max="9" width="3.5546875" style="150" customWidth="1"/>
    <col min="10" max="10" width="13.109375" style="151" customWidth="1"/>
    <col min="11" max="11" width="4.44140625" style="710" hidden="1" customWidth="1"/>
    <col min="12" max="17" width="9" style="506" hidden="1" customWidth="1"/>
    <col min="18" max="18" width="3.5546875" style="345" hidden="1" customWidth="1"/>
    <col min="19" max="16384" width="11.44140625" style="150"/>
  </cols>
  <sheetData>
    <row r="1" spans="1:18" x14ac:dyDescent="0.25">
      <c r="K1" s="706"/>
    </row>
    <row r="2" spans="1:18" x14ac:dyDescent="0.25">
      <c r="K2" s="706"/>
    </row>
    <row r="3" spans="1:18" x14ac:dyDescent="0.25">
      <c r="K3" s="706"/>
    </row>
    <row r="4" spans="1:18" x14ac:dyDescent="0.25">
      <c r="K4" s="706"/>
      <c r="L4" s="690" t="s">
        <v>1615</v>
      </c>
    </row>
    <row r="5" spans="1:18" x14ac:dyDescent="0.25">
      <c r="A5" s="1373"/>
      <c r="B5" s="1373"/>
      <c r="C5" s="1373"/>
      <c r="D5" s="1373"/>
      <c r="E5" s="1373"/>
      <c r="F5" s="1373"/>
      <c r="G5" s="1373"/>
      <c r="H5" s="1373"/>
      <c r="I5" s="1373"/>
      <c r="J5" s="1373"/>
      <c r="K5" s="706"/>
      <c r="L5" s="1356">
        <f>J14</f>
        <v>54820</v>
      </c>
      <c r="M5" s="1356">
        <f>L5*1</f>
        <v>54820</v>
      </c>
    </row>
    <row r="6" spans="1:18" ht="17.399999999999999" x14ac:dyDescent="0.3">
      <c r="A6" s="194" t="str">
        <f>IF(Input!K75=2,Übersetzungen!D151,Übersetzungen!D150)</f>
        <v>Offerte</v>
      </c>
      <c r="J6" s="918" t="str">
        <f>IF(Input!E6="","",Input!E6)</f>
        <v/>
      </c>
      <c r="K6" s="706"/>
      <c r="L6" s="691" t="s">
        <v>1616</v>
      </c>
    </row>
    <row r="7" spans="1:18" s="207" customFormat="1" ht="17.25" customHeight="1" x14ac:dyDescent="0.2">
      <c r="A7" s="1374" t="str">
        <f>IF(L9=1,"Sie haben das AHV-Alter überschritten, bitte wenden Sie sich an die PAT-BVG!","")</f>
        <v/>
      </c>
      <c r="B7" s="1374"/>
      <c r="C7" s="1374"/>
      <c r="D7" s="1374"/>
      <c r="E7" s="1374"/>
      <c r="F7" s="1374"/>
      <c r="G7" s="1374"/>
      <c r="H7" s="1374"/>
      <c r="I7" s="1374"/>
      <c r="J7" s="1374"/>
      <c r="K7" s="707"/>
      <c r="L7" s="689">
        <f>Input!E15</f>
        <v>45292</v>
      </c>
      <c r="M7" s="46"/>
      <c r="N7" s="46"/>
      <c r="O7" s="46"/>
      <c r="P7" s="46"/>
      <c r="Q7" s="46"/>
      <c r="R7" s="503"/>
    </row>
    <row r="8" spans="1:18" s="455" customFormat="1" ht="11.25" customHeight="1" x14ac:dyDescent="0.25">
      <c r="A8" s="641" t="str">
        <f>Übersetzungen!D153</f>
        <v>Module</v>
      </c>
      <c r="B8" s="637"/>
      <c r="C8" s="637"/>
      <c r="D8" s="641" t="str">
        <f>Übersetzungen!D154</f>
        <v>Vers.</v>
      </c>
      <c r="E8" s="1172" t="s">
        <v>1793</v>
      </c>
      <c r="F8" s="1173" t="str">
        <f>Übersetzungen!D237</f>
        <v>Plan Nr.</v>
      </c>
      <c r="G8" s="1174"/>
      <c r="H8" s="1173" t="s">
        <v>1795</v>
      </c>
      <c r="I8" s="1175" t="str">
        <f>IF(Wertebereich!B44=1,"","TK")</f>
        <v/>
      </c>
      <c r="J8" s="1176" t="str">
        <f>Übersetzungen!D238</f>
        <v>Pers.-Kreis</v>
      </c>
      <c r="K8" s="706"/>
      <c r="L8" s="692">
        <f>L7*1</f>
        <v>45292</v>
      </c>
      <c r="R8" s="500"/>
    </row>
    <row r="9" spans="1:18" s="410" customFormat="1" ht="11.25" customHeight="1" x14ac:dyDescent="0.25">
      <c r="A9" s="631" t="str">
        <f>CONCATENATE(Wertebereich!U18," / ",Wertebereich!T11)</f>
        <v>L4_keine_keine / 720/R2/TK0/Bb_Plan/A1/25/ZS0</v>
      </c>
      <c r="B9" s="631"/>
      <c r="C9" s="631"/>
      <c r="D9" s="631" t="str">
        <f>VLOOKUP(Input!K5,Input!L5:O8,4)</f>
        <v>SE&lt;50</v>
      </c>
      <c r="E9" s="1168">
        <f>Wertebereich!V17</f>
        <v>423</v>
      </c>
      <c r="F9" s="1375" t="str">
        <f>CONCATENATE(Wertebereich!U12,L10)</f>
        <v>22011001</v>
      </c>
      <c r="G9" s="1375"/>
      <c r="H9" s="1169" t="str">
        <f>IF(Input!K37=1,"BVG",Wertebereich!U20)</f>
        <v>40</v>
      </c>
      <c r="I9" s="1170" t="str">
        <f>IF(Wertebereich!B44=1,"",Wertebereich!U21)</f>
        <v/>
      </c>
      <c r="J9" s="1171" t="str">
        <f>Wertebereich!V10</f>
        <v>102_</v>
      </c>
      <c r="K9" s="706"/>
      <c r="L9" s="507">
        <f>IF(L8&gt;=M5,1,0)</f>
        <v>0</v>
      </c>
      <c r="M9" s="507"/>
      <c r="N9" s="507"/>
      <c r="O9" s="507"/>
      <c r="P9" s="507"/>
      <c r="Q9" s="507"/>
      <c r="R9" s="490"/>
    </row>
    <row r="10" spans="1:18" s="454" customFormat="1" ht="15" x14ac:dyDescent="0.25">
      <c r="A10" s="411"/>
      <c r="B10" s="410"/>
      <c r="C10" s="410"/>
      <c r="D10" s="410"/>
      <c r="E10" s="410"/>
      <c r="F10" s="410"/>
      <c r="G10" s="410"/>
      <c r="H10" s="410"/>
      <c r="I10" s="410"/>
      <c r="J10" s="410"/>
      <c r="K10" s="706"/>
      <c r="L10" s="506"/>
      <c r="M10" s="506"/>
      <c r="N10" s="506"/>
      <c r="O10" s="506"/>
      <c r="P10" s="506"/>
      <c r="Q10" s="506"/>
      <c r="R10" s="501"/>
    </row>
    <row r="11" spans="1:18" s="445" customFormat="1" ht="15.75" customHeight="1" x14ac:dyDescent="0.3">
      <c r="A11" s="453" t="s">
        <v>1140</v>
      </c>
      <c r="B11" s="947" t="str">
        <f>Übersetzungen!D152</f>
        <v>VERSICHERTE PERSON</v>
      </c>
      <c r="C11" s="947"/>
      <c r="D11" s="947"/>
      <c r="E11" s="948"/>
      <c r="F11" s="948"/>
      <c r="G11" s="949"/>
      <c r="H11" s="948"/>
      <c r="I11" s="948"/>
      <c r="J11" s="950"/>
      <c r="K11" s="706"/>
      <c r="L11" s="506"/>
      <c r="M11" s="506"/>
      <c r="N11" s="506"/>
      <c r="O11" s="506"/>
      <c r="P11" s="506"/>
      <c r="Q11" s="506"/>
      <c r="R11" s="502"/>
    </row>
    <row r="12" spans="1:18" s="445" customFormat="1" ht="18.75" customHeight="1" x14ac:dyDescent="0.25">
      <c r="A12" s="447" t="s">
        <v>1155</v>
      </c>
      <c r="B12" s="445" t="str">
        <f>IF(Input!E10&lt;&gt;"",Übersetzungen!D161,Übersetzungen!D159)</f>
        <v>Name / Vorname</v>
      </c>
      <c r="G12" s="446"/>
      <c r="J12" s="448" t="str">
        <f>IF(Input!E10&lt;&gt;"",CONCATENATE(Input!E10," / ",Input!E7," ",Input!E8," ",Input!E9),CONCATENATE(Input!E7," ",Input!E8," ",Input!E9))</f>
        <v xml:space="preserve">  </v>
      </c>
      <c r="K12" s="706"/>
      <c r="L12" s="506"/>
      <c r="M12" s="982"/>
      <c r="N12" s="982"/>
      <c r="O12" s="982"/>
      <c r="P12" s="506"/>
      <c r="Q12" s="506"/>
      <c r="R12" s="502"/>
    </row>
    <row r="13" spans="1:18" s="445" customFormat="1" ht="13.2" x14ac:dyDescent="0.25">
      <c r="A13" s="447" t="s">
        <v>1156</v>
      </c>
      <c r="B13" s="704" t="str">
        <f>Übersetzungen!D160</f>
        <v>Alter / Geburtsdatum</v>
      </c>
      <c r="D13" s="449"/>
      <c r="G13" s="446"/>
      <c r="I13" s="445">
        <f>Input!F11</f>
        <v>39</v>
      </c>
      <c r="J13" s="1252">
        <f>Input!E11</f>
        <v>31048</v>
      </c>
      <c r="K13" s="706"/>
      <c r="L13" s="506"/>
      <c r="M13" s="984" t="s">
        <v>1345</v>
      </c>
      <c r="N13" s="984" t="s">
        <v>1328</v>
      </c>
      <c r="O13" s="984" t="s">
        <v>2051</v>
      </c>
      <c r="P13" s="506"/>
      <c r="Q13" s="506"/>
      <c r="R13" s="502"/>
    </row>
    <row r="14" spans="1:18" s="445" customFormat="1" ht="13.2" x14ac:dyDescent="0.25">
      <c r="A14" s="447" t="s">
        <v>1157</v>
      </c>
      <c r="B14" s="445" t="str">
        <f>Übersetzungen!D162</f>
        <v>AHV-Referenzalter erreicht am</v>
      </c>
      <c r="C14" s="1129"/>
      <c r="G14" s="446"/>
      <c r="J14" s="1252">
        <f>IF(Input!K3=1,CONCATENATE("1.",Input!O65,".",L14+65),
IF(YEAR($J$13)=1960,IFERROR(EOMONTH(+DATE(YEAR($J$13)+64,MONTH($J$13),DAY($J$13)),0)+1,""),
IF(YEAR($J$13)=1961,IFERROR(EOMONTH(+DATE(YEAR($J$13)+64,MONTH($J$13),DAY($J$13)),3)+1,""),
IF(YEAR($J$13)=1962,IFERROR(EOMONTH(+DATE(YEAR($J$13)+64,MONTH($J$13),DAY($J$13)),6)+1,""),
IF(YEAR($J$13)=1963,IFERROR(EOMONTH(+DATE(YEAR($J$13)+64,MONTH($J$13),DAY($J$13)),9)+1,""),
IF(YEAR($J$13)&gt;=1964,IFERROR(EOMONTH(+DATE(YEAR($J$13)+64,MONTH($J$13),DAY($J$13)),12)+1,""),""))))))</f>
        <v>54820</v>
      </c>
      <c r="K14" s="708"/>
      <c r="L14" s="506">
        <f>IF(MONTH(Input!E11)=12,YEAR(Input!E11)+1,YEAR(Input!E11))</f>
        <v>1985</v>
      </c>
      <c r="M14" s="983">
        <f>IF($L$17&gt;65,1,0)</f>
        <v>0</v>
      </c>
      <c r="N14" s="983">
        <f>IF($L$17&gt;64,1,0)</f>
        <v>0</v>
      </c>
      <c r="O14" s="983">
        <f>IF(Input!$K$3=1,M14,N14)</f>
        <v>0</v>
      </c>
      <c r="P14" s="506"/>
      <c r="Q14" s="506"/>
      <c r="R14" s="502"/>
    </row>
    <row r="15" spans="1:18" s="445" customFormat="1" ht="13.2" x14ac:dyDescent="0.25">
      <c r="A15" s="447" t="s">
        <v>1158</v>
      </c>
      <c r="B15" s="449" t="str">
        <f>Übersetzungen!D164</f>
        <v>Offerte per</v>
      </c>
      <c r="C15" s="449"/>
      <c r="G15" s="446"/>
      <c r="J15" s="1253">
        <f>Input!E15</f>
        <v>45292</v>
      </c>
      <c r="K15" s="708"/>
      <c r="L15" s="983">
        <f>YEAR(Input!E11)</f>
        <v>1985</v>
      </c>
      <c r="M15" s="983">
        <f>IF($L$17&gt;63,1,0)</f>
        <v>0</v>
      </c>
      <c r="N15" s="983">
        <f>IF($L$17&gt;62,1,0)</f>
        <v>0</v>
      </c>
      <c r="O15" s="983">
        <f>IF(Input!$K$3=1,M15,N15)</f>
        <v>0</v>
      </c>
      <c r="P15" s="506"/>
      <c r="Q15" s="506"/>
      <c r="R15" s="502"/>
    </row>
    <row r="16" spans="1:18" s="445" customFormat="1" ht="13.2" x14ac:dyDescent="0.25">
      <c r="A16" s="447" t="s">
        <v>1159</v>
      </c>
      <c r="B16" s="445" t="str">
        <f>Übersetzungen!D165</f>
        <v>Jahreslohn in CHF</v>
      </c>
      <c r="G16" s="446"/>
      <c r="J16" s="966">
        <f>Input!E19</f>
        <v>100000</v>
      </c>
      <c r="K16" s="708"/>
      <c r="L16" s="983">
        <f>YEAR(Input!E15)</f>
        <v>2024</v>
      </c>
      <c r="M16" s="983">
        <f>IF($L$17&gt;60,1,0)</f>
        <v>0</v>
      </c>
      <c r="N16" s="983">
        <f>IF($L$17&gt;60,1,0)</f>
        <v>0</v>
      </c>
      <c r="O16" s="983">
        <f>IF(Input!$K$3=1,M16,N16)</f>
        <v>0</v>
      </c>
      <c r="P16" s="506"/>
      <c r="Q16" s="506"/>
      <c r="R16" s="502"/>
    </row>
    <row r="17" spans="1:18" s="445" customFormat="1" ht="13.2" x14ac:dyDescent="0.25">
      <c r="A17" s="447" t="s">
        <v>1494</v>
      </c>
      <c r="B17" s="445" t="str">
        <f>IF(Input!K9=2,Übersetzungen!D166,Übersetzungen!D167)</f>
        <v>Versichertes Einkommen in CHF</v>
      </c>
      <c r="G17" s="446"/>
      <c r="H17" s="576"/>
      <c r="I17" s="576" t="str">
        <f>IF(Input!K9=2,CONCATENATE(Input!E23*100," % / "),"")</f>
        <v/>
      </c>
      <c r="J17" s="981">
        <f>Input!E24</f>
        <v>100000</v>
      </c>
      <c r="K17" s="708"/>
      <c r="L17" s="983">
        <f>L16-L15</f>
        <v>39</v>
      </c>
      <c r="M17" s="983">
        <f>IF($L$17&gt;58,1,0)</f>
        <v>0</v>
      </c>
      <c r="N17" s="983">
        <f>IF($L$17&gt;58,1,0)</f>
        <v>0</v>
      </c>
      <c r="O17" s="983">
        <f>IF(Input!$K$3=1,M17,N17)</f>
        <v>0</v>
      </c>
      <c r="P17" s="506"/>
      <c r="Q17" s="506"/>
      <c r="R17" s="502"/>
    </row>
    <row r="18" spans="1:18" s="445" customFormat="1" ht="25.5" customHeight="1" x14ac:dyDescent="0.25">
      <c r="A18" s="976" t="s">
        <v>2048</v>
      </c>
      <c r="B18" s="977" t="str">
        <f>Übersetzungen!D170</f>
        <v>Personenkreis / Plannummer / LBI</v>
      </c>
      <c r="C18" s="978"/>
      <c r="D18" s="978"/>
      <c r="E18" s="978"/>
      <c r="F18" s="978"/>
      <c r="G18" s="979"/>
      <c r="H18" s="980"/>
      <c r="I18" s="978"/>
      <c r="J18" s="980" t="str">
        <f>CONCATENATE(J9," / ",F9," / ",E9," / ",H9,IF(Wertebereich!B44=1,""," / "),I9)</f>
        <v>102_ / 22011001 / 423 / 40</v>
      </c>
      <c r="K18" s="708"/>
      <c r="L18" s="506"/>
      <c r="M18" s="506"/>
      <c r="N18" s="506"/>
      <c r="O18" s="506"/>
      <c r="P18" s="506"/>
      <c r="Q18" s="506"/>
      <c r="R18" s="502"/>
    </row>
    <row r="19" spans="1:18" s="454" customFormat="1" ht="15.6" x14ac:dyDescent="0.3">
      <c r="A19" s="453" t="s">
        <v>1138</v>
      </c>
      <c r="B19" s="947" t="str">
        <f>Übersetzungen!D171</f>
        <v>VERSICHERTE LEISTUNGEN</v>
      </c>
      <c r="C19" s="947"/>
      <c r="D19" s="947"/>
      <c r="E19" s="948"/>
      <c r="F19" s="948"/>
      <c r="G19" s="949"/>
      <c r="H19" s="948"/>
      <c r="I19" s="948"/>
      <c r="J19" s="949"/>
      <c r="K19" s="709"/>
      <c r="M19" s="506"/>
      <c r="N19" s="506"/>
      <c r="O19" s="506"/>
      <c r="P19" s="506"/>
      <c r="Q19" s="506"/>
      <c r="R19" s="501"/>
    </row>
    <row r="20" spans="1:18" s="445" customFormat="1" ht="6" customHeight="1" x14ac:dyDescent="0.25">
      <c r="A20" s="444"/>
      <c r="B20" s="214"/>
      <c r="C20" s="214"/>
      <c r="D20" s="214"/>
      <c r="G20" s="446"/>
      <c r="J20" s="446"/>
      <c r="K20" s="708"/>
      <c r="L20" s="506"/>
      <c r="M20" s="506"/>
      <c r="N20" s="506"/>
      <c r="O20" s="506"/>
      <c r="P20" s="506"/>
      <c r="Q20" s="506"/>
      <c r="R20" s="502"/>
    </row>
    <row r="21" spans="1:18" s="445" customFormat="1" ht="13.2" x14ac:dyDescent="0.25">
      <c r="A21" s="447"/>
      <c r="B21" s="214" t="str">
        <f>Übersetzungen!D172</f>
        <v>Voraussichtliche Altersleistungen</v>
      </c>
      <c r="C21" s="214"/>
      <c r="D21" s="214" t="str">
        <f>Übersetzungen!D173</f>
        <v>Kapital, mit</v>
      </c>
      <c r="F21" s="214"/>
      <c r="G21" s="214" t="str">
        <f>Übersetzungen!D175</f>
        <v xml:space="preserve">                   Jahresrenten, mit</v>
      </c>
      <c r="H21" s="214"/>
      <c r="I21" s="964"/>
      <c r="J21" s="962"/>
      <c r="K21" s="708"/>
      <c r="L21" s="809">
        <f>Input!E53</f>
        <v>2024</v>
      </c>
      <c r="M21" s="809">
        <f>L21+1</f>
        <v>2025</v>
      </c>
      <c r="N21" s="506"/>
      <c r="O21" s="506"/>
      <c r="P21" s="506"/>
      <c r="Q21" s="506"/>
      <c r="R21" s="502"/>
    </row>
    <row r="22" spans="1:18" s="445" customFormat="1" ht="12.75" customHeight="1" x14ac:dyDescent="0.25">
      <c r="A22" s="447"/>
      <c r="B22" s="214"/>
      <c r="C22" s="963">
        <v>0</v>
      </c>
      <c r="D22" s="965" t="str">
        <f>Übersetzungen!D174</f>
        <v>Proj.-zins*</v>
      </c>
      <c r="F22" s="214"/>
      <c r="G22" s="963">
        <v>0</v>
      </c>
      <c r="I22" s="214"/>
      <c r="J22" s="965" t="str">
        <f>Übersetzungen!D174</f>
        <v>Proj.-zins*</v>
      </c>
      <c r="K22" s="708"/>
      <c r="L22" s="506"/>
      <c r="M22" s="506" t="str">
        <f>IF(VLOOKUP(M21,Beitrag!A73:E163,5)="","",VLOOKUP(M21,Beitrag!A73:E163,5))</f>
        <v/>
      </c>
      <c r="N22" s="506"/>
      <c r="O22" s="506"/>
      <c r="P22" s="506"/>
      <c r="Q22" s="506"/>
      <c r="R22" s="502"/>
    </row>
    <row r="23" spans="1:18" s="445" customFormat="1" ht="13.2" x14ac:dyDescent="0.25">
      <c r="A23" s="447" t="s">
        <v>1147</v>
      </c>
      <c r="B23" s="445" t="str">
        <f>Übersetzungen!D182</f>
        <v>im AHV-Referenzalter</v>
      </c>
      <c r="C23" s="968">
        <f>IF(P23&gt;D23,D23,P23)</f>
        <v>391500</v>
      </c>
      <c r="D23" s="968">
        <f>Input!E64</f>
        <v>493363.47761943238</v>
      </c>
      <c r="E23" s="968"/>
      <c r="F23" s="968"/>
      <c r="G23" s="973">
        <f>IF(Renten!AE81&gt;J23,J23,Renten!AE81)</f>
        <v>21141</v>
      </c>
      <c r="H23" s="968"/>
      <c r="I23" s="968"/>
      <c r="J23" s="973">
        <f>Input!G64</f>
        <v>26641.627791449348</v>
      </c>
      <c r="K23" s="708"/>
      <c r="L23" s="835">
        <f>Input!F53</f>
        <v>0.02</v>
      </c>
      <c r="M23" s="835">
        <f>Input!F54</f>
        <v>0.02</v>
      </c>
      <c r="N23" s="506" t="s">
        <v>1270</v>
      </c>
      <c r="O23" s="506"/>
      <c r="P23" s="1122">
        <f>VLOOKUP(Renten!Q71,Renten!S75:AC79,11)</f>
        <v>391500</v>
      </c>
      <c r="Q23" s="506"/>
      <c r="R23" s="502"/>
    </row>
    <row r="24" spans="1:18" s="445" customFormat="1" ht="13.2" x14ac:dyDescent="0.25">
      <c r="A24" s="447"/>
      <c r="B24" s="445" t="str">
        <f>IF(Input!K3=1,Übersetzungen!D184,Übersetzungen!D185)</f>
        <v>im Alter 62</v>
      </c>
      <c r="C24" s="968">
        <f>IF(I13&gt;63,"",IF(P24&gt;D24,D24,P24))</f>
        <v>337500</v>
      </c>
      <c r="D24" s="968">
        <f>IF(Input!K3=1,Input!E62,Input!E61)</f>
        <v>412997.52510293206</v>
      </c>
      <c r="E24" s="968"/>
      <c r="F24" s="968"/>
      <c r="G24" s="973">
        <f>IF(AND(Input!$K$3=1,Renten!R50&gt;J24),J24,IF(AND(Input!$K$3=2,Renten!R49&gt;J24),J24,IF(Input!$K$3=1,Renten!R50,Renten!R49)))</f>
        <v>16706.25</v>
      </c>
      <c r="H24" s="968"/>
      <c r="I24" s="968"/>
      <c r="J24" s="973">
        <f>IF(Input!K3=1,Input!G62,Input!G61)</f>
        <v>20443.377492595137</v>
      </c>
      <c r="K24" s="708"/>
      <c r="L24" s="835">
        <f>IF(Input!G53="",L23,Input!G53)</f>
        <v>0.02</v>
      </c>
      <c r="M24" s="835">
        <f>IF(Input!G54="",M23,Input!G54)</f>
        <v>0.02</v>
      </c>
      <c r="N24" s="506" t="s">
        <v>1679</v>
      </c>
      <c r="O24" s="506"/>
      <c r="P24" s="1122">
        <f>IF(Input!$K$3=1,Renten!Q50+Renten!P58,Renten!Q49+Renten!P58)</f>
        <v>337500</v>
      </c>
      <c r="Q24" s="506"/>
      <c r="R24" s="502"/>
    </row>
    <row r="25" spans="1:18" s="445" customFormat="1" ht="12.75" customHeight="1" x14ac:dyDescent="0.25">
      <c r="A25" s="447"/>
      <c r="B25" s="445" t="str">
        <f>Übersetzungen!D187</f>
        <v>im Alter 60</v>
      </c>
      <c r="C25" s="968">
        <f>IF(I13&gt;60,"",IF(P25&gt;D25,D25,P25))</f>
        <v>301500</v>
      </c>
      <c r="D25" s="968">
        <f>Input!E59</f>
        <v>362012.23097167641</v>
      </c>
      <c r="E25" s="968"/>
      <c r="F25" s="968"/>
      <c r="G25" s="973">
        <f>IF(Renten!R47&gt;J25,J25,Renten!R47)</f>
        <v>14019.750000000002</v>
      </c>
      <c r="H25" s="968"/>
      <c r="I25" s="968"/>
      <c r="J25" s="973">
        <f>Input!G59</f>
        <v>16833.568740182956</v>
      </c>
      <c r="K25" s="708"/>
      <c r="L25" s="835">
        <f>VLOOKUP(L21,Beitrag!A73:D163,4)</f>
        <v>0.02</v>
      </c>
      <c r="M25" s="835">
        <f>VLOOKUP(M21,Beitrag!A73:D163,4)</f>
        <v>0.02</v>
      </c>
      <c r="N25" s="506" t="s">
        <v>1680</v>
      </c>
      <c r="O25" s="506"/>
      <c r="P25" s="1122">
        <f>Renten!Q47+Renten!P58</f>
        <v>301500</v>
      </c>
      <c r="Q25" s="506"/>
      <c r="R25" s="502"/>
    </row>
    <row r="26" spans="1:18" s="445" customFormat="1" ht="12.75" customHeight="1" x14ac:dyDescent="0.25">
      <c r="A26" s="447"/>
      <c r="B26" s="445" t="str">
        <f>Übersetzungen!D189</f>
        <v>im Alter 58</v>
      </c>
      <c r="C26" s="968">
        <f>IF(P26&gt;D26,D26,P26)</f>
        <v>265500</v>
      </c>
      <c r="D26" s="968">
        <f>Input!E57</f>
        <v>313006.75795047713</v>
      </c>
      <c r="E26" s="968"/>
      <c r="F26" s="968"/>
      <c r="G26" s="973">
        <f>IF(Renten!R45&gt;J26,J26,Renten!R45)</f>
        <v>11549.25</v>
      </c>
      <c r="H26" s="968"/>
      <c r="I26" s="968"/>
      <c r="J26" s="973">
        <f>Input!G57</f>
        <v>13615.793970845754</v>
      </c>
      <c r="K26" s="708"/>
      <c r="L26" s="506">
        <f>IF(L24&lt;&gt;L23,1,0)</f>
        <v>0</v>
      </c>
      <c r="M26" s="506">
        <f>IF(M24&lt;&gt;M23,1,0)</f>
        <v>0</v>
      </c>
      <c r="N26" s="884">
        <f>L26+M26</f>
        <v>0</v>
      </c>
      <c r="O26" s="506"/>
      <c r="P26" s="1122">
        <f>Renten!Q45+Renten!P58</f>
        <v>265500</v>
      </c>
      <c r="Q26" s="506"/>
      <c r="R26" s="502"/>
    </row>
    <row r="27" spans="1:18" s="445" customFormat="1" ht="12.75" customHeight="1" x14ac:dyDescent="0.25">
      <c r="A27" s="447" t="s">
        <v>1148</v>
      </c>
      <c r="B27" s="445" t="str">
        <f>Übersetzungen!D190</f>
        <v>Alterskinderrente (pro Kind) im AHV-Alter</v>
      </c>
      <c r="C27" s="449"/>
      <c r="D27" s="449"/>
      <c r="E27" s="449"/>
      <c r="F27" s="449"/>
      <c r="G27" s="451"/>
      <c r="H27" s="449"/>
      <c r="I27" s="449"/>
      <c r="J27" s="968">
        <f>IF(A7="Sie haben das AHV-Alter überschritten, bitte wenden Sie sich an die PAT-BVG!",0,ROUND(VLOOKUP(Input!J10+66-Input!K3,Leistungen!A141:G230,Input!K6+4),0))</f>
        <v>4893</v>
      </c>
      <c r="K27" s="708"/>
      <c r="L27" s="883">
        <v>0</v>
      </c>
      <c r="M27" s="936" t="str">
        <f>CONCATENATE(Übersetzungen!D191,L21," ",VLOOKUP(L21,Beitrag!A73:E163,2)*100,"%",VLOOKUP(L21,Beitrag!A73:E163,5),Übersetzungen!D193,M21," ",VLOOKUP(M21,Beitrag!A73:E163,2)*100,"%")</f>
        <v>Projektionszins: 2024 2%; ab 2025 2%</v>
      </c>
      <c r="N27" s="936"/>
      <c r="O27" s="936"/>
      <c r="P27" s="936"/>
      <c r="Q27" s="936"/>
      <c r="R27" s="502"/>
    </row>
    <row r="28" spans="1:18" s="445" customFormat="1" ht="17.25" customHeight="1" x14ac:dyDescent="0.25">
      <c r="A28" s="972" t="s">
        <v>2046</v>
      </c>
      <c r="B28" s="450" t="str">
        <f>IF(N26=0,M27,CONCATENATE(M28,M31))</f>
        <v>Projektionszins: 2024 2%; ab 2025 2%</v>
      </c>
      <c r="C28" s="450"/>
      <c r="D28" s="450"/>
      <c r="G28" s="446"/>
      <c r="J28" s="446"/>
      <c r="K28" s="708"/>
      <c r="L28" s="883">
        <v>1</v>
      </c>
      <c r="M28" s="883" t="str">
        <f>CONCATENATE(Übersetzungen!D191,L21," ",L24*100,Übersetzungen!D192,M21," ",M24*100,"% ")</f>
        <v xml:space="preserve">Projektionszins: 2024 2%; ab 2025 2% </v>
      </c>
      <c r="N28" s="936"/>
      <c r="O28" s="936"/>
      <c r="P28" s="936"/>
      <c r="Q28" s="936"/>
      <c r="R28" s="502"/>
    </row>
    <row r="29" spans="1:18" s="445" customFormat="1" ht="7.5" customHeight="1" x14ac:dyDescent="0.25">
      <c r="A29" s="972"/>
      <c r="B29" s="450"/>
      <c r="C29" s="450"/>
      <c r="D29" s="450"/>
      <c r="G29" s="446"/>
      <c r="J29" s="446"/>
      <c r="K29" s="708"/>
      <c r="L29" s="883"/>
      <c r="M29" s="883"/>
      <c r="N29" s="936"/>
      <c r="O29" s="936"/>
      <c r="P29" s="936"/>
      <c r="Q29" s="936"/>
      <c r="R29" s="502"/>
    </row>
    <row r="30" spans="1:18" s="445" customFormat="1" ht="39" customHeight="1" x14ac:dyDescent="0.25">
      <c r="A30" s="972"/>
      <c r="B30" s="1378" t="str">
        <f>Übersetzungen!D363</f>
        <v>Seit dem 1. Januar 2021 ist die Umwandlung in eine Altersrente bis zu einem vorhandenen Altersguthaben von CHF 1.5 Mio. (Verrentungsgrenze) möglich. Das diesen Betrag übersteigende Altersguthaben ist in Kapitalform zu beziehen.</v>
      </c>
      <c r="C30" s="1378"/>
      <c r="D30" s="1378"/>
      <c r="E30" s="1378"/>
      <c r="F30" s="1378"/>
      <c r="G30" s="1378"/>
      <c r="H30" s="1378"/>
      <c r="I30" s="1378"/>
      <c r="J30" s="1378"/>
      <c r="K30" s="708"/>
      <c r="L30" s="883"/>
      <c r="M30" s="883"/>
      <c r="N30" s="936"/>
      <c r="O30" s="936"/>
      <c r="P30" s="936"/>
      <c r="Q30" s="936"/>
      <c r="R30" s="502"/>
    </row>
    <row r="31" spans="1:18" s="445" customFormat="1" ht="9" customHeight="1" x14ac:dyDescent="0.25">
      <c r="A31" s="447"/>
      <c r="G31" s="446"/>
      <c r="J31" s="446"/>
      <c r="K31" s="708"/>
      <c r="L31" s="883"/>
      <c r="M31" s="936" t="str">
        <f>CONCATENATE(Übersetzungen!D194,L21," ",VLOOKUP(L21,Beitrag!A73:E163,2)*100,"%",VLOOKUP(L21,Beitrag!A73:E163,5),Übersetzungen!D193,M21," ",VLOOKUP(M21,Beitrag!A73:E163,2)*100,"%)")</f>
        <v>(offizieller Satz PAT-BVG: 2024 2%; ab 2025 2%)</v>
      </c>
      <c r="N31" s="936"/>
      <c r="O31" s="936"/>
      <c r="P31" s="936"/>
      <c r="Q31" s="936"/>
      <c r="R31" s="502"/>
    </row>
    <row r="32" spans="1:18" s="445" customFormat="1" ht="12.75" customHeight="1" x14ac:dyDescent="0.25">
      <c r="A32" s="447"/>
      <c r="B32" s="214" t="str">
        <f>Übersetzungen!D205</f>
        <v>Risikoleistungen</v>
      </c>
      <c r="C32" s="214"/>
      <c r="D32" s="214"/>
      <c r="G32" s="446"/>
      <c r="J32" s="962" t="str">
        <f>Übersetzungen!D204</f>
        <v>Jahresrenten</v>
      </c>
      <c r="K32" s="708"/>
      <c r="L32" s="883"/>
      <c r="M32" s="883"/>
      <c r="N32" s="883"/>
      <c r="O32" s="883"/>
      <c r="P32" s="883"/>
      <c r="Q32" s="883"/>
      <c r="R32" s="502"/>
    </row>
    <row r="33" spans="1:18" s="445" customFormat="1" ht="12.75" customHeight="1" x14ac:dyDescent="0.25">
      <c r="A33" s="447" t="s">
        <v>1149</v>
      </c>
      <c r="B33" s="445" t="str">
        <f>IF(Input!K51=1,Übersetzungen!D195,Übersetzungen!D196)</f>
        <v>Invalidenrente nach einer Wartefrist von 720 Tagen</v>
      </c>
      <c r="G33" s="446"/>
      <c r="J33" s="967">
        <f>ROUND(Input!G71,0)</f>
        <v>40000</v>
      </c>
      <c r="K33" s="708"/>
      <c r="L33" s="883"/>
      <c r="M33" s="883"/>
      <c r="N33" s="883"/>
      <c r="O33" s="883"/>
      <c r="P33" s="883"/>
      <c r="Q33" s="883"/>
      <c r="R33" s="502"/>
    </row>
    <row r="34" spans="1:18" s="445" customFormat="1" ht="12.75" customHeight="1" x14ac:dyDescent="0.25">
      <c r="A34" s="447" t="s">
        <v>1150</v>
      </c>
      <c r="B34" s="445" t="str">
        <f>Übersetzungen!D197</f>
        <v>Hinterbliebenenrente im Todesfall</v>
      </c>
      <c r="G34" s="446"/>
      <c r="J34" s="967">
        <f>IF(Input!G74=0,0,ROUND(Input!G74,0))</f>
        <v>24000</v>
      </c>
      <c r="K34" s="708"/>
      <c r="L34" s="217"/>
      <c r="M34" s="883"/>
      <c r="N34" s="883"/>
      <c r="O34" s="883"/>
      <c r="P34" s="883"/>
      <c r="Q34" s="883"/>
      <c r="R34" s="502"/>
    </row>
    <row r="35" spans="1:18" s="445" customFormat="1" ht="12.75" customHeight="1" x14ac:dyDescent="0.25">
      <c r="A35" s="447" t="s">
        <v>1151</v>
      </c>
      <c r="B35" s="445" t="str">
        <f>Übersetzungen!D198</f>
        <v>Kinderrente bei Invalidität oder Tod (pro Kind)</v>
      </c>
      <c r="G35" s="446"/>
      <c r="J35" s="967">
        <f>ROUND(Input!G72,0)</f>
        <v>8000</v>
      </c>
      <c r="K35" s="708"/>
      <c r="L35" s="506"/>
      <c r="M35" s="506" t="str">
        <f>IF(AND(N24&gt;0,L21=M21),M27,IF(N24&gt;0,M28,""))</f>
        <v xml:space="preserve">Projektionszins: 2024 2%; ab 2025 2% </v>
      </c>
      <c r="N35" s="506"/>
      <c r="O35" s="506"/>
      <c r="P35" s="506"/>
      <c r="Q35" s="506"/>
      <c r="R35" s="502"/>
    </row>
    <row r="36" spans="1:18" s="445" customFormat="1" ht="12.75" customHeight="1" x14ac:dyDescent="0.25">
      <c r="A36" s="447" t="s">
        <v>2077</v>
      </c>
      <c r="B36" s="445" t="str">
        <f>IF(Input!K53=1,Übersetzungen!D199,Übersetzungen!D200)</f>
        <v>Reglementarisches Todesfallkapital</v>
      </c>
      <c r="G36" s="446"/>
      <c r="J36" s="967" t="str">
        <f>IF(Input!K53=1,"",Input!G78)</f>
        <v/>
      </c>
      <c r="K36" s="708"/>
      <c r="L36" s="217"/>
      <c r="M36" s="883"/>
      <c r="N36" s="883"/>
      <c r="O36" s="883"/>
      <c r="P36" s="883"/>
      <c r="Q36" s="883"/>
      <c r="R36" s="502"/>
    </row>
    <row r="37" spans="1:18" s="445" customFormat="1" ht="17.25" customHeight="1" x14ac:dyDescent="0.25">
      <c r="A37" s="447"/>
      <c r="B37" s="450" t="str">
        <f>IF(AND(Wertebereich!C64=0,Wertebereich!B64=2),Übersetzungen!D202,Übersetzungen!D203)</f>
        <v>Prämienbefreiung nach einer Wartefrist von 6 Monaten; Befreiung gemäss Plan.</v>
      </c>
      <c r="C37" s="450"/>
      <c r="G37" s="446"/>
      <c r="J37" s="448"/>
      <c r="K37" s="708"/>
      <c r="L37" s="506"/>
      <c r="M37" s="506"/>
      <c r="N37" s="506"/>
      <c r="O37" s="506"/>
      <c r="P37" s="506"/>
      <c r="Q37" s="506"/>
      <c r="R37" s="502"/>
    </row>
    <row r="38" spans="1:18" s="445" customFormat="1" ht="12.75" customHeight="1" x14ac:dyDescent="0.25">
      <c r="A38" s="447"/>
      <c r="G38" s="446"/>
      <c r="J38" s="446"/>
      <c r="K38" s="708"/>
      <c r="L38" s="506"/>
      <c r="M38" s="506"/>
      <c r="N38" s="506"/>
      <c r="O38" s="506"/>
      <c r="P38" s="506"/>
      <c r="Q38" s="506"/>
      <c r="R38" s="502"/>
    </row>
    <row r="39" spans="1:18" s="445" customFormat="1" ht="15.6" x14ac:dyDescent="0.3">
      <c r="A39" s="453" t="s">
        <v>1139</v>
      </c>
      <c r="B39" s="947" t="str">
        <f>Übersetzungen!D206</f>
        <v>JAHRESBEITRÄGE IN CHF</v>
      </c>
      <c r="C39" s="947"/>
      <c r="D39" s="951"/>
      <c r="E39" s="948"/>
      <c r="F39" s="948"/>
      <c r="G39" s="951"/>
      <c r="H39" s="952"/>
      <c r="I39" s="952"/>
      <c r="J39" s="953"/>
      <c r="K39" s="708"/>
      <c r="L39" s="506"/>
      <c r="M39" s="506"/>
      <c r="N39" s="506"/>
      <c r="O39" s="506"/>
      <c r="P39" s="506"/>
      <c r="Q39" s="506"/>
      <c r="R39" s="502"/>
    </row>
    <row r="40" spans="1:18" s="445" customFormat="1" ht="6" customHeight="1" x14ac:dyDescent="0.25">
      <c r="A40" s="444"/>
      <c r="G40" s="446"/>
      <c r="J40" s="446"/>
      <c r="K40" s="708"/>
      <c r="L40" s="506"/>
      <c r="M40" s="506"/>
      <c r="N40" s="506"/>
      <c r="O40" s="506"/>
      <c r="P40" s="506"/>
      <c r="Q40" s="506"/>
      <c r="R40" s="502"/>
    </row>
    <row r="41" spans="1:18" s="445" customFormat="1" ht="12.75" customHeight="1" thickBot="1" x14ac:dyDescent="0.3">
      <c r="A41" s="444"/>
      <c r="B41" s="214" t="str">
        <f>Übersetzungen!D207</f>
        <v>Beitragsart</v>
      </c>
      <c r="C41" s="214"/>
      <c r="D41" s="961" t="str">
        <f>IF(Input!K5=1,Übersetzungen!D214,"")</f>
        <v/>
      </c>
      <c r="E41" s="961"/>
      <c r="F41" s="961"/>
      <c r="G41" s="962" t="str">
        <f>IF(Input!K5=1,Übersetzungen!D215,"")</f>
        <v/>
      </c>
      <c r="H41" s="961"/>
      <c r="I41" s="961"/>
      <c r="J41" s="962" t="str">
        <f>IF(Input!K5=1,Übersetzungen!D216,"")</f>
        <v/>
      </c>
      <c r="K41" s="708"/>
      <c r="L41" s="506"/>
      <c r="M41" s="506"/>
      <c r="N41" s="506"/>
      <c r="O41" s="506"/>
      <c r="P41" s="506"/>
      <c r="Q41" s="506"/>
      <c r="R41" s="502"/>
    </row>
    <row r="42" spans="1:18" s="454" customFormat="1" ht="12.75" customHeight="1" x14ac:dyDescent="0.25">
      <c r="A42" s="447" t="s">
        <v>1154</v>
      </c>
      <c r="B42" s="445" t="str">
        <f>Übersetzungen!D208</f>
        <v>Sparen</v>
      </c>
      <c r="C42" s="445"/>
      <c r="D42" s="446" t="str">
        <f>IF(Input!$K$5&lt;&gt;1,"",G42+J42)</f>
        <v/>
      </c>
      <c r="E42" s="445"/>
      <c r="F42" s="445"/>
      <c r="G42" s="446" t="str">
        <f>IF(Input!$K$5&lt;&gt;1,"",'Ausweis-Certificat'!O44)</f>
        <v/>
      </c>
      <c r="H42" s="445"/>
      <c r="I42" s="445"/>
      <c r="J42" s="211">
        <f>IF(Input!$K$5&lt;&gt;1,M44,Q44)</f>
        <v>9999.5999999999985</v>
      </c>
      <c r="K42" s="714"/>
      <c r="L42" s="699" t="s">
        <v>1022</v>
      </c>
      <c r="M42" s="700" t="s">
        <v>1686</v>
      </c>
      <c r="N42" s="699" t="s">
        <v>1401</v>
      </c>
      <c r="O42" s="700" t="s">
        <v>720</v>
      </c>
      <c r="P42" s="699" t="s">
        <v>1315</v>
      </c>
      <c r="Q42" s="700" t="s">
        <v>720</v>
      </c>
      <c r="R42" s="501"/>
    </row>
    <row r="43" spans="1:18" s="445" customFormat="1" ht="12.75" customHeight="1" x14ac:dyDescent="0.25">
      <c r="A43" s="447" t="s">
        <v>1429</v>
      </c>
      <c r="B43" s="445" t="str">
        <f>Übersetzungen!D209</f>
        <v>Risikoleistungen</v>
      </c>
      <c r="D43" s="446" t="str">
        <f>IF(Input!$K$5&lt;&gt;1,"",G43+J43)</f>
        <v/>
      </c>
      <c r="G43" s="446" t="str">
        <f>IF(Input!$K$5&lt;&gt;1,"",O48)</f>
        <v/>
      </c>
      <c r="J43" s="211">
        <f>IF(Input!$K$5&lt;&gt;1,M48,Q48)</f>
        <v>1060.8000000000002</v>
      </c>
      <c r="K43" s="708"/>
      <c r="L43" s="695"/>
      <c r="M43" s="696"/>
      <c r="N43" s="695"/>
      <c r="O43" s="696"/>
      <c r="P43" s="695"/>
      <c r="Q43" s="696"/>
      <c r="R43" s="502"/>
    </row>
    <row r="44" spans="1:18" s="445" customFormat="1" ht="12.75" customHeight="1" x14ac:dyDescent="0.25">
      <c r="A44" s="452">
        <v>3.3</v>
      </c>
      <c r="B44" s="445" t="str">
        <f>Übersetzungen!D210</f>
        <v>Verwaltungskostenbeitrag</v>
      </c>
      <c r="D44" s="446" t="str">
        <f>IF(Input!$K$5&lt;&gt;1,"",G44+J44)</f>
        <v/>
      </c>
      <c r="G44" s="446" t="str">
        <f>IF(Input!$K$5&lt;&gt;1,"",'Ausweis-Certificat'!O49)</f>
        <v/>
      </c>
      <c r="J44" s="211">
        <f>IF(Input!$K$5&lt;&gt;1,M49,Q49)</f>
        <v>192</v>
      </c>
      <c r="K44" s="708"/>
      <c r="L44" s="697">
        <f>$J$17*VLOOKUP(Input!$L$2,'Plan-Piano'!$P$50:$X$56,2)%</f>
        <v>10000</v>
      </c>
      <c r="M44" s="701">
        <f>(ROUND((L44/24)/5,2)*5)*24</f>
        <v>9999.5999999999985</v>
      </c>
      <c r="N44" s="697">
        <f>M44*Input!$J$47</f>
        <v>4999.7999999999993</v>
      </c>
      <c r="O44" s="701">
        <f>(ROUND((N44/12)/5,2)*5)*12</f>
        <v>4999.7999999999993</v>
      </c>
      <c r="P44" s="697">
        <f>M44*(100%-Input!$J$47)</f>
        <v>4999.7999999999993</v>
      </c>
      <c r="Q44" s="701">
        <f>(ROUND((P44/12)/5,2)*5)*12</f>
        <v>4999.7999999999993</v>
      </c>
      <c r="R44" s="715" t="s">
        <v>1354</v>
      </c>
    </row>
    <row r="45" spans="1:18" s="445" customFormat="1" ht="12.75" customHeight="1" x14ac:dyDescent="0.25">
      <c r="A45" s="452">
        <v>3.4</v>
      </c>
      <c r="B45" s="445" t="str">
        <f>Übersetzungen!D211</f>
        <v>Total jährliche Beiträge</v>
      </c>
      <c r="D45" s="446" t="str">
        <f>IF(Input!$K$5&lt;&gt;1,"",G45+J45)</f>
        <v/>
      </c>
      <c r="G45" s="446" t="str">
        <f>IF(Input!$K$5&lt;&gt;1,"",SUM(G42:G44))</f>
        <v/>
      </c>
      <c r="J45" s="446">
        <f>SUM(J42:J44)</f>
        <v>11252.399999999998</v>
      </c>
      <c r="K45" s="711"/>
      <c r="L45" s="712">
        <f>$J$17*VLOOKUP(Input!$L$2,'Plan-Piano'!$P$50:$X$56,3)%</f>
        <v>800</v>
      </c>
      <c r="M45" s="713">
        <f>(ROUND((L45/24)/5,2)*5)*24</f>
        <v>800.40000000000009</v>
      </c>
      <c r="N45" s="712">
        <f>M45*Input!$J$47</f>
        <v>400.20000000000005</v>
      </c>
      <c r="O45" s="713">
        <f>(ROUND((N45/12)/5,2)*5)*12</f>
        <v>400.20000000000005</v>
      </c>
      <c r="P45" s="712">
        <f>M45*(100%-Input!$J$47)</f>
        <v>400.20000000000005</v>
      </c>
      <c r="Q45" s="713">
        <f>(ROUND((P45/12)/5,2)*5)*12</f>
        <v>400.20000000000005</v>
      </c>
      <c r="R45" s="716" t="s">
        <v>976</v>
      </c>
    </row>
    <row r="46" spans="1:18" s="445" customFormat="1" ht="17.25" customHeight="1" x14ac:dyDescent="0.25">
      <c r="A46" s="452"/>
      <c r="B46" s="450" t="str">
        <f>IF(Input!K5=1,Übersetzungen!D212,Übersetzungen!D213)</f>
        <v>pro Quartal</v>
      </c>
      <c r="D46" s="446"/>
      <c r="G46" s="446"/>
      <c r="J46" s="985">
        <f>IF(Input!K5=1,J45/12,J45/4)</f>
        <v>2813.0999999999995</v>
      </c>
      <c r="K46" s="711"/>
      <c r="L46" s="712">
        <f>$J$17*VLOOKUP(Input!$L$2,'Plan-Piano'!$P$50:$X$56,4)%</f>
        <v>260</v>
      </c>
      <c r="M46" s="713">
        <f>(ROUND((L46/24)/5,2)*5)*24</f>
        <v>260.39999999999998</v>
      </c>
      <c r="N46" s="712">
        <f>M46*Input!$J$47</f>
        <v>130.19999999999999</v>
      </c>
      <c r="O46" s="713">
        <f>(ROUND((N46/12)/5,2)*5)*12</f>
        <v>130.19999999999999</v>
      </c>
      <c r="P46" s="712">
        <f>M46*(100%-Input!$J$47)</f>
        <v>130.19999999999999</v>
      </c>
      <c r="Q46" s="713">
        <f>(ROUND((P46/12)/5,2)*5)*12</f>
        <v>130.19999999999999</v>
      </c>
      <c r="R46" s="716" t="s">
        <v>1483</v>
      </c>
    </row>
    <row r="47" spans="1:18" s="445" customFormat="1" ht="12" customHeight="1" x14ac:dyDescent="0.25">
      <c r="A47" s="444"/>
      <c r="G47" s="446"/>
      <c r="J47" s="446"/>
      <c r="K47" s="711"/>
      <c r="L47" s="712">
        <f>$J$17*VLOOKUP(Input!$L$2,'Plan-Piano'!$P$50:$X$56,5)%</f>
        <v>0</v>
      </c>
      <c r="M47" s="713">
        <f>(ROUND((L47/24)/5,2)*5)*24</f>
        <v>0</v>
      </c>
      <c r="N47" s="712">
        <f>M47*Input!$J$47</f>
        <v>0</v>
      </c>
      <c r="O47" s="713">
        <f>(ROUND((N47/12)/5,2)*5)*12</f>
        <v>0</v>
      </c>
      <c r="P47" s="712">
        <f>M47*(100%-Input!$J$47)</f>
        <v>0</v>
      </c>
      <c r="Q47" s="713">
        <f>(ROUND((P47/12)/5,2)*5)*12</f>
        <v>0</v>
      </c>
      <c r="R47" s="716" t="s">
        <v>978</v>
      </c>
    </row>
    <row r="48" spans="1:18" s="445" customFormat="1" ht="15.75" customHeight="1" x14ac:dyDescent="0.3">
      <c r="A48" s="453" t="s">
        <v>1143</v>
      </c>
      <c r="B48" s="947" t="str">
        <f>Übersetzungen!D217</f>
        <v>DIVERSE ANGABEN IN CHF</v>
      </c>
      <c r="C48" s="947"/>
      <c r="D48" s="947"/>
      <c r="E48" s="948"/>
      <c r="F48" s="948"/>
      <c r="G48" s="949"/>
      <c r="H48" s="948"/>
      <c r="I48" s="948"/>
      <c r="J48" s="949"/>
      <c r="K48" s="708"/>
      <c r="L48" s="697">
        <f t="shared" ref="L48:Q48" si="0">SUM(L45:L47)</f>
        <v>1060</v>
      </c>
      <c r="M48" s="701">
        <f t="shared" si="0"/>
        <v>1060.8000000000002</v>
      </c>
      <c r="N48" s="697">
        <f t="shared" si="0"/>
        <v>530.40000000000009</v>
      </c>
      <c r="O48" s="701">
        <f t="shared" si="0"/>
        <v>530.40000000000009</v>
      </c>
      <c r="P48" s="697">
        <f t="shared" si="0"/>
        <v>530.40000000000009</v>
      </c>
      <c r="Q48" s="701">
        <f t="shared" si="0"/>
        <v>530.40000000000009</v>
      </c>
      <c r="R48" s="715" t="s">
        <v>976</v>
      </c>
    </row>
    <row r="49" spans="1:18" s="454" customFormat="1" ht="6" customHeight="1" x14ac:dyDescent="0.25">
      <c r="A49" s="444"/>
      <c r="B49" s="445"/>
      <c r="C49" s="445"/>
      <c r="D49" s="445"/>
      <c r="E49" s="445"/>
      <c r="F49" s="445"/>
      <c r="G49" s="446"/>
      <c r="H49" s="445"/>
      <c r="I49" s="445"/>
      <c r="J49" s="446"/>
      <c r="K49" s="714"/>
      <c r="L49" s="697">
        <v>192</v>
      </c>
      <c r="M49" s="701">
        <f>(ROUND((L49/24)/5,2)*5)*24</f>
        <v>192</v>
      </c>
      <c r="N49" s="697">
        <f>M49*Input!$J$47</f>
        <v>96</v>
      </c>
      <c r="O49" s="701">
        <f>(ROUND((N49/12)/5,2)*5)*12</f>
        <v>96</v>
      </c>
      <c r="P49" s="697">
        <f>M49*(100%-Input!$J$47)</f>
        <v>96</v>
      </c>
      <c r="Q49" s="701">
        <f>(ROUND((P49/12)/5,2)*5)*12</f>
        <v>96</v>
      </c>
      <c r="R49" s="717" t="s">
        <v>1359</v>
      </c>
    </row>
    <row r="50" spans="1:18" s="445" customFormat="1" ht="12.75" customHeight="1" x14ac:dyDescent="0.25">
      <c r="A50" s="969" t="s">
        <v>1144</v>
      </c>
      <c r="B50" s="32" t="str">
        <f>CONCATENATE(Übersetzungen!D218,Input!J49)</f>
        <v>Vorhandenes Sparguthaben per 31.12.2023</v>
      </c>
      <c r="C50" s="32"/>
      <c r="D50" s="32"/>
      <c r="E50" s="32"/>
      <c r="F50" s="32"/>
      <c r="G50" s="970"/>
      <c r="H50" s="32"/>
      <c r="I50" s="32"/>
      <c r="J50" s="971">
        <f>IF($L$55=2,"...",Input!E51)</f>
        <v>0</v>
      </c>
      <c r="K50" s="708"/>
      <c r="L50" s="697"/>
      <c r="M50" s="701"/>
      <c r="N50" s="697"/>
      <c r="O50" s="701"/>
      <c r="P50" s="697"/>
      <c r="Q50" s="701"/>
      <c r="R50" s="715"/>
    </row>
    <row r="51" spans="1:18" s="445" customFormat="1" ht="12.75" customHeight="1" thickBot="1" x14ac:dyDescent="0.3">
      <c r="A51" s="969" t="s">
        <v>1145</v>
      </c>
      <c r="B51" s="32" t="str">
        <f>CONCATENATE(Übersetzungen!D219,Input!J49)</f>
        <v>davon gemäss BVG per 31.12.2023</v>
      </c>
      <c r="C51" s="32"/>
      <c r="D51" s="32"/>
      <c r="E51" s="32"/>
      <c r="F51" s="32"/>
      <c r="G51" s="970"/>
      <c r="H51" s="32"/>
      <c r="I51" s="32"/>
      <c r="J51" s="971">
        <f>IF($L$55=2,"...",Input!E52)</f>
        <v>0</v>
      </c>
      <c r="K51" s="708"/>
      <c r="L51" s="698">
        <f t="shared" ref="L51:Q51" si="1">L44+L48+L49</f>
        <v>11252</v>
      </c>
      <c r="M51" s="702">
        <f t="shared" si="1"/>
        <v>11252.399999999998</v>
      </c>
      <c r="N51" s="698">
        <f t="shared" si="1"/>
        <v>5626.1999999999989</v>
      </c>
      <c r="O51" s="702">
        <f t="shared" si="1"/>
        <v>5626.1999999999989</v>
      </c>
      <c r="P51" s="698">
        <f t="shared" si="1"/>
        <v>5626.1999999999989</v>
      </c>
      <c r="Q51" s="702">
        <f t="shared" si="1"/>
        <v>5626.1999999999989</v>
      </c>
      <c r="R51" s="715" t="s">
        <v>1356</v>
      </c>
    </row>
    <row r="52" spans="1:18" s="445" customFormat="1" ht="12.75" customHeight="1" x14ac:dyDescent="0.25">
      <c r="A52" s="969" t="s">
        <v>1146</v>
      </c>
      <c r="B52" s="32" t="str">
        <f>IF(Input!F84&lt;&gt;"",CONCATENATE(Übersetzungen!D220," ",Übersetzungen!D221),CONCATENATE(Übersetzungen!D220))</f>
        <v>Mögliche Einkaufssumme</v>
      </c>
      <c r="C52" s="32"/>
      <c r="D52" s="32"/>
      <c r="E52" s="32"/>
      <c r="F52" s="32"/>
      <c r="G52" s="970"/>
      <c r="H52" s="32"/>
      <c r="I52" s="32"/>
      <c r="J52" s="971">
        <f>IF(Input!K2&lt;26,0,IF(Input!E84=0,0,ROUND(Input!E84,0)))</f>
        <v>124200</v>
      </c>
      <c r="K52" s="708"/>
      <c r="L52" s="811"/>
      <c r="M52" s="811"/>
      <c r="N52" s="811"/>
      <c r="O52" s="811"/>
      <c r="P52" s="811"/>
      <c r="Q52" s="811"/>
      <c r="R52" s="715"/>
    </row>
    <row r="53" spans="1:18" s="445" customFormat="1" ht="12.75" customHeight="1" x14ac:dyDescent="0.25">
      <c r="A53" s="1327" t="str">
        <f>IF(Einkaufsberechnung!D6="Ja","4.4","")</f>
        <v/>
      </c>
      <c r="B53" s="445" t="str">
        <f>IF(Einkaufsberechnung!D6="Ja","Überschüssiges Altersguthaben / möglicher Übertrag","")</f>
        <v/>
      </c>
      <c r="C53" s="32"/>
      <c r="D53" s="32"/>
      <c r="E53" s="32"/>
      <c r="F53" s="32"/>
      <c r="G53" s="970"/>
      <c r="H53" s="32"/>
      <c r="I53" s="32"/>
      <c r="J53" s="971" t="str">
        <f>IF(Einkaufsberechnung!D6="Ja",Einkaufsberechnung!E19,"")</f>
        <v/>
      </c>
      <c r="K53" s="708"/>
      <c r="L53" s="1321"/>
      <c r="M53" s="1321"/>
      <c r="N53" s="1321"/>
      <c r="O53" s="1321"/>
      <c r="P53" s="1321"/>
      <c r="Q53" s="1321"/>
      <c r="R53" s="715"/>
    </row>
    <row r="54" spans="1:18" s="445" customFormat="1" ht="12.75" customHeight="1" x14ac:dyDescent="0.25">
      <c r="A54" s="444"/>
      <c r="G54" s="446"/>
      <c r="J54" s="446"/>
      <c r="K54" s="708"/>
      <c r="L54" s="703"/>
      <c r="M54" s="703"/>
      <c r="N54" s="454"/>
      <c r="O54" s="703"/>
      <c r="P54" s="703"/>
      <c r="Q54" s="703"/>
      <c r="R54" s="502"/>
    </row>
    <row r="55" spans="1:18" s="445" customFormat="1" ht="12.75" customHeight="1" x14ac:dyDescent="0.25">
      <c r="A55" s="1377" t="str">
        <f>Übersetzungen!D222</f>
        <v>Diese Offerte wurde nach dem ab 1.1.2023 gültigen Vorsorgereglement erstellt.</v>
      </c>
      <c r="B55" s="1377"/>
      <c r="C55" s="1377"/>
      <c r="D55" s="1377"/>
      <c r="E55" s="1377"/>
      <c r="F55" s="1377"/>
      <c r="G55" s="1377"/>
      <c r="H55" s="1377"/>
      <c r="I55" s="1377"/>
      <c r="J55" s="1377"/>
      <c r="K55" s="708"/>
      <c r="L55" s="721">
        <f>Input!K77</f>
        <v>1</v>
      </c>
      <c r="M55" s="703"/>
      <c r="N55" s="703"/>
      <c r="O55" s="703"/>
      <c r="P55" s="703"/>
      <c r="Q55" s="703"/>
      <c r="R55" s="502"/>
    </row>
    <row r="56" spans="1:18" s="445" customFormat="1" ht="12.75" customHeight="1" x14ac:dyDescent="0.25">
      <c r="A56" s="1377" t="str">
        <f>Übersetzungen!D223</f>
        <v>Vorbehalten bleiben Änderungen des versicherten Lohnes, des Reglements oder der Gesetze.</v>
      </c>
      <c r="B56" s="1377"/>
      <c r="C56" s="1377"/>
      <c r="D56" s="1377"/>
      <c r="E56" s="1377"/>
      <c r="F56" s="1377"/>
      <c r="G56" s="1377"/>
      <c r="H56" s="1377"/>
      <c r="I56" s="1377"/>
      <c r="J56" s="1377"/>
      <c r="K56" s="708"/>
      <c r="L56" s="703"/>
      <c r="M56" s="703"/>
      <c r="N56" s="703"/>
      <c r="O56" s="703"/>
      <c r="P56" s="703"/>
      <c r="Q56" s="703"/>
      <c r="R56" s="502"/>
    </row>
    <row r="57" spans="1:18" s="445" customFormat="1" ht="12.75" customHeight="1" x14ac:dyDescent="0.25">
      <c r="A57" s="1377" t="str">
        <f>Übersetzungen!D224</f>
        <v>Verbindlich sind nur die Berechnungen durch die PAT-BVG.</v>
      </c>
      <c r="B57" s="1377"/>
      <c r="C57" s="1377"/>
      <c r="D57" s="1377"/>
      <c r="E57" s="1377"/>
      <c r="F57" s="1377"/>
      <c r="G57" s="1377"/>
      <c r="H57" s="1377"/>
      <c r="I57" s="1377"/>
      <c r="J57" s="1377"/>
      <c r="K57" s="705"/>
      <c r="L57" s="703"/>
      <c r="M57" s="703"/>
      <c r="N57" s="703"/>
      <c r="O57" s="703"/>
      <c r="P57" s="703"/>
      <c r="Q57" s="703"/>
      <c r="R57" s="502"/>
    </row>
    <row r="58" spans="1:18" s="445" customFormat="1" ht="12.75" customHeight="1" x14ac:dyDescent="0.25">
      <c r="A58" s="1376" t="str">
        <f>Übersetzungen!D225</f>
        <v>Die Risikobeurteilung und die definitive Aufnahmebestätigung erfolgen ausschliesslich durch die PAT-BVG.</v>
      </c>
      <c r="B58" s="1376"/>
      <c r="C58" s="1376"/>
      <c r="D58" s="1376"/>
      <c r="E58" s="1376"/>
      <c r="F58" s="1376"/>
      <c r="G58" s="1376"/>
      <c r="H58" s="1376"/>
      <c r="I58" s="1376"/>
      <c r="J58" s="1376"/>
      <c r="K58" s="705"/>
      <c r="L58" s="703"/>
      <c r="M58" s="703"/>
      <c r="N58" s="703"/>
      <c r="O58" s="703"/>
      <c r="P58" s="703"/>
      <c r="Q58" s="703"/>
      <c r="R58" s="502"/>
    </row>
    <row r="59" spans="1:18" s="445" customFormat="1" ht="6" customHeight="1" x14ac:dyDescent="0.25">
      <c r="A59" s="719"/>
      <c r="B59" s="719"/>
      <c r="C59" s="719"/>
      <c r="D59" s="719"/>
      <c r="E59" s="719"/>
      <c r="F59" s="719"/>
      <c r="G59" s="719"/>
      <c r="H59" s="719"/>
      <c r="I59" s="719"/>
      <c r="J59" s="719"/>
      <c r="K59" s="708"/>
      <c r="L59" s="703"/>
      <c r="M59" s="703"/>
      <c r="N59" s="703"/>
      <c r="O59" s="703"/>
      <c r="P59" s="703"/>
      <c r="Q59" s="703"/>
      <c r="R59" s="502"/>
    </row>
    <row r="60" spans="1:18" s="445" customFormat="1" ht="12.75" customHeight="1" x14ac:dyDescent="0.25">
      <c r="A60" s="445" t="str">
        <f ca="1">IF(Input!E87="",CONCATENATE(Übersetzungen!D227,TEXT(Input!J88,"T.M.JJJJ"),"."),CONCATENATE(Übersetzungen!D228,Input!E87,Übersetzungen!D229,TEXT(Input!J88,"T.M.JJJJ"),"."))</f>
        <v>Erstellt am 17.5.2023.</v>
      </c>
      <c r="G60" s="446"/>
      <c r="K60" s="705"/>
      <c r="L60" s="506"/>
      <c r="M60" s="506"/>
      <c r="N60" s="506"/>
      <c r="O60" s="506"/>
      <c r="P60" s="506"/>
      <c r="Q60" s="506"/>
      <c r="R60" s="502"/>
    </row>
    <row r="61" spans="1:18" s="445" customFormat="1" ht="12.75" customHeight="1" x14ac:dyDescent="0.25">
      <c r="A61" s="445" t="str">
        <f>IF(AND(Input!E88&lt;&gt;"",Input!E89&lt;&gt;""),CONCATENATE(Übersetzungen!D230,Input!E88,", ","Tel. ",Input!E89,"."),IF(Input!E88&lt;&gt;"",CONCATENATE(Übersetzungen!D230,Input!E88,"."),""))</f>
        <v/>
      </c>
      <c r="G61" s="446"/>
      <c r="J61" s="917" t="str">
        <f ca="1">Input!H90</f>
        <v>17.5.23 / Tool 2024 (V 30.04.2023)</v>
      </c>
      <c r="K61" s="708"/>
      <c r="L61" s="506"/>
      <c r="M61" s="506"/>
      <c r="N61" s="506"/>
      <c r="O61" s="506"/>
      <c r="P61" s="506"/>
      <c r="Q61" s="506"/>
      <c r="R61" s="502"/>
    </row>
    <row r="62" spans="1:18" s="445" customFormat="1" ht="13.2" x14ac:dyDescent="0.25">
      <c r="A62" s="149"/>
      <c r="B62" s="150"/>
      <c r="C62" s="150"/>
      <c r="D62" s="150"/>
      <c r="E62" s="150"/>
      <c r="F62" s="150"/>
      <c r="G62" s="151"/>
      <c r="H62" s="150"/>
      <c r="I62" s="150"/>
      <c r="J62" s="151"/>
      <c r="K62" s="708"/>
      <c r="L62" s="506"/>
      <c r="M62" s="506"/>
      <c r="N62" s="506"/>
      <c r="O62" s="506"/>
      <c r="P62" s="506"/>
      <c r="Q62" s="506"/>
      <c r="R62" s="502"/>
    </row>
    <row r="63" spans="1:18" s="445" customFormat="1" ht="13.5" customHeight="1" x14ac:dyDescent="0.25">
      <c r="A63" s="149"/>
      <c r="B63" s="150"/>
      <c r="C63" s="150"/>
      <c r="D63" s="150"/>
      <c r="E63" s="150"/>
      <c r="F63" s="150"/>
      <c r="G63" s="151"/>
      <c r="H63" s="150"/>
      <c r="I63" s="150"/>
      <c r="J63" s="151"/>
      <c r="K63" s="708"/>
      <c r="L63" s="506"/>
      <c r="M63" s="506"/>
      <c r="N63" s="506"/>
      <c r="O63" s="506"/>
      <c r="P63" s="506"/>
      <c r="Q63" s="506"/>
      <c r="R63" s="502"/>
    </row>
    <row r="65" spans="6:6" x14ac:dyDescent="0.25">
      <c r="F65" s="206"/>
    </row>
  </sheetData>
  <sheetProtection algorithmName="SHA-512" hashValue="YqKL/htKM7eInzCKMelcyJYpfRp10PJLbv3J7TB5VvilnKJiZNaGOAU97uJuXvcSWnnyumT+C87b5uqNTFsKfA==" saltValue="4AbXdYhjXQt2Oflb2Ok5Pw==" spinCount="100000" sheet="1" objects="1" scenarios="1" selectLockedCells="1" selectUnlockedCells="1"/>
  <mergeCells count="8">
    <mergeCell ref="A5:J5"/>
    <mergeCell ref="A7:J7"/>
    <mergeCell ref="F9:G9"/>
    <mergeCell ref="A58:J58"/>
    <mergeCell ref="A55:J55"/>
    <mergeCell ref="A56:J56"/>
    <mergeCell ref="A57:J57"/>
    <mergeCell ref="B30:J30"/>
  </mergeCells>
  <phoneticPr fontId="2" type="noConversion"/>
  <conditionalFormatting sqref="A7:J7">
    <cfRule type="cellIs" dxfId="24" priority="8" stopIfTrue="1" operator="notEqual">
      <formula>""</formula>
    </cfRule>
  </conditionalFormatting>
  <conditionalFormatting sqref="C23:J23 C24:C25">
    <cfRule type="expression" dxfId="23" priority="5" stopIfTrue="1">
      <formula>$O$14=1</formula>
    </cfRule>
  </conditionalFormatting>
  <conditionalFormatting sqref="D24:J24">
    <cfRule type="expression" dxfId="22" priority="4" stopIfTrue="1">
      <formula>$O$15=1</formula>
    </cfRule>
  </conditionalFormatting>
  <conditionalFormatting sqref="D25:J25">
    <cfRule type="expression" dxfId="21" priority="3" stopIfTrue="1">
      <formula>$O$16=1</formula>
    </cfRule>
  </conditionalFormatting>
  <conditionalFormatting sqref="D26:J26">
    <cfRule type="expression" dxfId="20" priority="2" stopIfTrue="1">
      <formula>$O$17=1</formula>
    </cfRule>
  </conditionalFormatting>
  <conditionalFormatting sqref="C26">
    <cfRule type="expression" dxfId="19" priority="1" stopIfTrue="1">
      <formula>$O$17=1</formula>
    </cfRule>
  </conditionalFormatting>
  <pageMargins left="0.59055118110236227" right="0.39370078740157483" top="0.39370078740157483" bottom="0.19685039370078741" header="0.39370078740157483" footer="0.51181102362204722"/>
  <pageSetup paperSize="9" orientation="portrait" r:id="rId1"/>
  <customProperties>
    <customPr name="SSCSheetTrackingNo"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R56"/>
  <sheetViews>
    <sheetView showGridLines="0" topLeftCell="A15" zoomScale="150" workbookViewId="0">
      <selection activeCell="I29" sqref="I29"/>
    </sheetView>
  </sheetViews>
  <sheetFormatPr baseColWidth="10" defaultColWidth="11.44140625" defaultRowHeight="12.6" x14ac:dyDescent="0.25"/>
  <cols>
    <col min="1" max="1" width="4.88671875" style="149" customWidth="1"/>
    <col min="2" max="2" width="25" style="150" customWidth="1"/>
    <col min="3" max="3" width="4.5546875" style="150" customWidth="1"/>
    <col min="4" max="4" width="14.44140625" style="150" customWidth="1"/>
    <col min="5" max="5" width="4.109375" style="150" customWidth="1"/>
    <col min="6" max="6" width="4.5546875" style="150" customWidth="1"/>
    <col min="7" max="7" width="13.44140625" style="151" customWidth="1"/>
    <col min="8" max="8" width="3.88671875" style="150" customWidth="1"/>
    <col min="9" max="9" width="4.5546875" style="150" customWidth="1"/>
    <col min="10" max="10" width="13.109375" style="151" customWidth="1"/>
    <col min="11" max="11" width="4.44140625" style="710" hidden="1" customWidth="1"/>
    <col min="12" max="32" width="11.44140625" style="150" customWidth="1"/>
    <col min="33" max="16384" width="11.44140625" style="150"/>
  </cols>
  <sheetData>
    <row r="1" spans="1:11" x14ac:dyDescent="0.25">
      <c r="K1" s="706"/>
    </row>
    <row r="2" spans="1:11" x14ac:dyDescent="0.25">
      <c r="K2" s="706"/>
    </row>
    <row r="3" spans="1:11" x14ac:dyDescent="0.25">
      <c r="K3" s="706"/>
    </row>
    <row r="4" spans="1:11" x14ac:dyDescent="0.25">
      <c r="K4" s="706"/>
    </row>
    <row r="5" spans="1:11" x14ac:dyDescent="0.25">
      <c r="K5" s="706"/>
    </row>
    <row r="6" spans="1:11" x14ac:dyDescent="0.25">
      <c r="K6" s="706"/>
    </row>
    <row r="7" spans="1:11" ht="17.399999999999999" x14ac:dyDescent="0.3">
      <c r="A7" s="194" t="str">
        <f>Übersetzungen!D236</f>
        <v>Zusatzblatt zum Versicherungsausweis</v>
      </c>
      <c r="J7" s="918" t="str">
        <f>IF(Input!E6="","",Input!E6)</f>
        <v/>
      </c>
      <c r="K7" s="706"/>
    </row>
    <row r="8" spans="1:11" s="207" customFormat="1" ht="17.25" customHeight="1" x14ac:dyDescent="0.25">
      <c r="A8" s="1374" t="str">
        <f>'Ausweis-Certificat'!A7</f>
        <v/>
      </c>
      <c r="B8" s="1374"/>
      <c r="C8" s="1374"/>
      <c r="D8" s="1374"/>
      <c r="E8" s="1374"/>
      <c r="F8" s="1374"/>
      <c r="G8" s="1374"/>
      <c r="H8" s="1374"/>
      <c r="I8" s="1374"/>
      <c r="J8" s="1374"/>
      <c r="K8" s="707"/>
    </row>
    <row r="9" spans="1:11" s="455" customFormat="1" ht="11.25" customHeight="1" x14ac:dyDescent="0.25">
      <c r="A9" s="641" t="str">
        <f>Übersetzungen!D153</f>
        <v>Module</v>
      </c>
      <c r="B9" s="637"/>
      <c r="C9" s="637"/>
      <c r="D9" s="641" t="str">
        <f>Übersetzungen!D154</f>
        <v>Vers.</v>
      </c>
      <c r="E9" s="642" t="s">
        <v>1793</v>
      </c>
      <c r="F9" s="639" t="str">
        <f>Übersetzungen!D237</f>
        <v>Plan Nr.</v>
      </c>
      <c r="G9" s="638"/>
      <c r="H9" s="645" t="str">
        <f>IF(Input!K37=1,"","IV")</f>
        <v>IV</v>
      </c>
      <c r="I9" s="646" t="str">
        <f>IF(Wertebereich!U21="0","","TK")</f>
        <v/>
      </c>
      <c r="J9" s="640" t="str">
        <f>Übersetzungen!D238</f>
        <v>Pers.-Kreis</v>
      </c>
      <c r="K9" s="706"/>
    </row>
    <row r="10" spans="1:11" s="410" customFormat="1" ht="11.25" customHeight="1" x14ac:dyDescent="0.25">
      <c r="A10" s="1177" t="str">
        <f>'Ausweis-Certificat'!A9</f>
        <v>L4_keine_keine / 720/R2/TK0/Bb_Plan/A1/25/ZS0</v>
      </c>
      <c r="B10" s="631"/>
      <c r="C10" s="631"/>
      <c r="D10" s="631" t="str">
        <f>'Ausweis-Certificat'!D9</f>
        <v>SE&lt;50</v>
      </c>
      <c r="E10" s="643">
        <f>'Ausweis-Certificat'!E9</f>
        <v>423</v>
      </c>
      <c r="F10" s="1382" t="str">
        <f>'Ausweis-Certificat'!F9</f>
        <v>22011001</v>
      </c>
      <c r="G10" s="1382"/>
      <c r="H10" s="636" t="str">
        <f>IF(Input!K37=1,"",Wertebereich!U20)</f>
        <v>40</v>
      </c>
      <c r="I10" s="635" t="str">
        <f>'Ausweis-Certificat'!I9</f>
        <v/>
      </c>
      <c r="J10" s="634" t="str">
        <f>'Ausweis-Certificat'!J9</f>
        <v>102_</v>
      </c>
      <c r="K10" s="706"/>
    </row>
    <row r="11" spans="1:11" s="454" customFormat="1" ht="15" x14ac:dyDescent="0.25">
      <c r="A11" s="411"/>
      <c r="B11" s="410"/>
      <c r="C11" s="410"/>
      <c r="D11" s="410"/>
      <c r="E11" s="410"/>
      <c r="F11" s="410"/>
      <c r="G11" s="410"/>
      <c r="H11" s="410"/>
      <c r="I11" s="410"/>
      <c r="J11" s="410"/>
      <c r="K11" s="706"/>
    </row>
    <row r="12" spans="1:11" s="445" customFormat="1" ht="15.75" customHeight="1" x14ac:dyDescent="0.3">
      <c r="A12" s="453" t="s">
        <v>1140</v>
      </c>
      <c r="B12" s="947" t="str">
        <f>Übersetzungen!D152</f>
        <v>VERSICHERTE PERSON</v>
      </c>
      <c r="C12" s="947"/>
      <c r="D12" s="947"/>
      <c r="E12" s="948"/>
      <c r="F12" s="948"/>
      <c r="G12" s="949"/>
      <c r="H12" s="948"/>
      <c r="I12" s="948"/>
      <c r="J12" s="950"/>
      <c r="K12" s="706"/>
    </row>
    <row r="13" spans="1:11" s="445" customFormat="1" ht="18.75" customHeight="1" x14ac:dyDescent="0.25">
      <c r="A13" s="447" t="s">
        <v>1155</v>
      </c>
      <c r="B13" s="445" t="str">
        <f>'Ausweis-Certificat'!B12</f>
        <v>Name / Vorname</v>
      </c>
      <c r="G13" s="446"/>
      <c r="J13" s="448" t="str">
        <f>'Ausweis-Certificat'!J12</f>
        <v xml:space="preserve">  </v>
      </c>
      <c r="K13" s="706"/>
    </row>
    <row r="14" spans="1:11" s="445" customFormat="1" ht="13.2" x14ac:dyDescent="0.25">
      <c r="A14" s="447" t="s">
        <v>1156</v>
      </c>
      <c r="B14" s="445" t="str">
        <f>'Ausweis-Certificat'!B13</f>
        <v>Alter / Geburtsdatum</v>
      </c>
      <c r="D14" s="449"/>
      <c r="G14" s="446"/>
      <c r="I14" s="445">
        <f>'Ausweis-Certificat'!I13</f>
        <v>39</v>
      </c>
      <c r="J14" s="1252">
        <f>'Ausweis-Certificat'!J13</f>
        <v>31048</v>
      </c>
      <c r="K14" s="706"/>
    </row>
    <row r="15" spans="1:11" s="445" customFormat="1" ht="13.2" x14ac:dyDescent="0.25">
      <c r="A15" s="447" t="s">
        <v>1157</v>
      </c>
      <c r="B15" s="445" t="str">
        <f>'Ausweis-Certificat'!B14</f>
        <v>AHV-Referenzalter erreicht am</v>
      </c>
      <c r="G15" s="446"/>
      <c r="J15" s="1252">
        <f>'Ausweis-Certificat'!J14</f>
        <v>54820</v>
      </c>
      <c r="K15" s="708"/>
    </row>
    <row r="16" spans="1:11" s="445" customFormat="1" ht="13.2" x14ac:dyDescent="0.25">
      <c r="A16" s="447" t="s">
        <v>1158</v>
      </c>
      <c r="B16" s="445" t="str">
        <f>'Ausweis-Certificat'!B15</f>
        <v>Offerte per</v>
      </c>
      <c r="C16" s="449"/>
      <c r="G16" s="446"/>
      <c r="J16" s="1252">
        <f>'Ausweis-Certificat'!J15</f>
        <v>45292</v>
      </c>
      <c r="K16" s="708"/>
    </row>
    <row r="17" spans="1:11" s="445" customFormat="1" ht="13.2" x14ac:dyDescent="0.25">
      <c r="A17" s="447" t="s">
        <v>1159</v>
      </c>
      <c r="B17" s="445" t="str">
        <f>'Ausweis-Certificat'!B16</f>
        <v>Jahreslohn in CHF</v>
      </c>
      <c r="G17" s="446"/>
      <c r="J17" s="967">
        <f>'Ausweis-Certificat'!J16</f>
        <v>100000</v>
      </c>
      <c r="K17" s="708"/>
    </row>
    <row r="18" spans="1:11" s="445" customFormat="1" ht="13.2" x14ac:dyDescent="0.25">
      <c r="A18" s="447" t="s">
        <v>1494</v>
      </c>
      <c r="B18" s="445" t="str">
        <f>Übersetzungen!D166</f>
        <v>Beschäftigungsgrad / versichertes Einkommen in CHF</v>
      </c>
      <c r="G18" s="575"/>
      <c r="H18" s="576" t="str">
        <f>IF(Input!K9=2,CONCATENATE(Input!E23*100," % / "),"")</f>
        <v/>
      </c>
      <c r="J18" s="967">
        <f>'Ausweis-Certificat'!J17</f>
        <v>100000</v>
      </c>
      <c r="K18" s="708"/>
    </row>
    <row r="19" spans="1:11" s="445" customFormat="1" ht="12.75" customHeight="1" x14ac:dyDescent="0.25">
      <c r="A19" s="444"/>
      <c r="G19" s="446"/>
      <c r="J19" s="446"/>
      <c r="K19" s="708"/>
    </row>
    <row r="20" spans="1:11" s="454" customFormat="1" ht="15.6" x14ac:dyDescent="0.3">
      <c r="A20" s="453" t="s">
        <v>1138</v>
      </c>
      <c r="B20" s="947" t="str">
        <f>Übersetzungen!D172</f>
        <v>Voraussichtliche Altersleistungen</v>
      </c>
      <c r="C20" s="947"/>
      <c r="D20" s="947"/>
      <c r="E20" s="948"/>
      <c r="F20" s="948"/>
      <c r="G20" s="949"/>
      <c r="H20" s="948"/>
      <c r="I20" s="948"/>
      <c r="J20" s="949"/>
      <c r="K20" s="709"/>
    </row>
    <row r="21" spans="1:11" s="445" customFormat="1" ht="6" customHeight="1" x14ac:dyDescent="0.25">
      <c r="A21" s="444"/>
      <c r="B21" s="214"/>
      <c r="C21" s="214"/>
      <c r="D21" s="214"/>
      <c r="G21" s="446"/>
      <c r="J21" s="446"/>
      <c r="K21" s="708"/>
    </row>
    <row r="22" spans="1:11" s="445" customFormat="1" ht="13.2" x14ac:dyDescent="0.25">
      <c r="A22" s="444"/>
      <c r="B22" s="450" t="str">
        <f>'Ausweis-Certificat'!B28</f>
        <v>Projektionszins: 2024 2%; ab 2025 2%</v>
      </c>
      <c r="C22" s="450"/>
      <c r="D22" s="450"/>
      <c r="G22" s="446"/>
      <c r="J22" s="446"/>
      <c r="K22" s="708"/>
    </row>
    <row r="23" spans="1:11" s="445" customFormat="1" ht="6" customHeight="1" x14ac:dyDescent="0.25">
      <c r="A23" s="444"/>
      <c r="G23" s="446"/>
      <c r="J23" s="446"/>
      <c r="K23" s="708"/>
    </row>
    <row r="24" spans="1:11" s="445" customFormat="1" ht="13.2" x14ac:dyDescent="0.25">
      <c r="A24" s="447"/>
      <c r="B24" s="214" t="str">
        <f>Übersetzungen!D239</f>
        <v>Rücktrittsalter</v>
      </c>
      <c r="C24" s="214"/>
      <c r="D24" s="961" t="str">
        <f>Übersetzungen!D240</f>
        <v>Alterskapital</v>
      </c>
      <c r="F24" s="214"/>
      <c r="G24" s="962" t="str">
        <f>Übersetzungen!D241</f>
        <v>oder Jahresrente</v>
      </c>
      <c r="I24" s="1380" t="str">
        <f>Übersetzungen!D242</f>
        <v>= Monatsrente</v>
      </c>
      <c r="J24" s="1381"/>
      <c r="K24" s="708"/>
    </row>
    <row r="25" spans="1:11" s="445" customFormat="1" ht="13.2" x14ac:dyDescent="0.25">
      <c r="A25" s="447"/>
      <c r="B25" s="445" t="str">
        <f>IF($K$25&gt;58,"",Übersetzungen!D189)</f>
        <v>im Alter 58</v>
      </c>
      <c r="D25" s="967">
        <f>IF(B25="","",ROUND(Input!E57,0))</f>
        <v>313007</v>
      </c>
      <c r="G25" s="967">
        <f>IF(B25="","",ROUND(Input!G57,0))</f>
        <v>13616</v>
      </c>
      <c r="J25" s="967">
        <f>IF(B25="","",ROUND(Input!H57,0))</f>
        <v>1135</v>
      </c>
      <c r="K25" s="925">
        <f>Input!K2</f>
        <v>39</v>
      </c>
    </row>
    <row r="26" spans="1:11" s="445" customFormat="1" ht="13.2" x14ac:dyDescent="0.25">
      <c r="A26" s="447"/>
      <c r="B26" s="445" t="str">
        <f>IF($K$25&gt;59,"",Übersetzungen!D188)</f>
        <v>im Alter 59</v>
      </c>
      <c r="D26" s="967">
        <f>IF(B26="","",ROUND(Input!E58,0))</f>
        <v>337267</v>
      </c>
      <c r="G26" s="967">
        <f>IF(B26="","",ROUND(Input!G58,0))</f>
        <v>15177</v>
      </c>
      <c r="J26" s="967">
        <f>IF(B26="","",ROUND(Input!H58,0))</f>
        <v>1265</v>
      </c>
      <c r="K26" s="708"/>
    </row>
    <row r="27" spans="1:11" s="445" customFormat="1" ht="13.2" x14ac:dyDescent="0.25">
      <c r="A27" s="447"/>
      <c r="B27" s="445" t="str">
        <f>IF($K$25&gt;60,"",Übersetzungen!D187)</f>
        <v>im Alter 60</v>
      </c>
      <c r="D27" s="967">
        <f>IF(B27="","",ROUND(Input!E59,0))</f>
        <v>362012</v>
      </c>
      <c r="G27" s="967">
        <f>IF(B27="","",ROUND(Input!G59,0))</f>
        <v>16834</v>
      </c>
      <c r="J27" s="967">
        <f>IF(B27="","",ROUND(Input!H59,0))</f>
        <v>1403</v>
      </c>
      <c r="K27" s="708"/>
    </row>
    <row r="28" spans="1:11" s="445" customFormat="1" ht="13.2" x14ac:dyDescent="0.25">
      <c r="A28" s="447"/>
      <c r="B28" s="445" t="str">
        <f>IF($K$25&gt;61,"",Übersetzungen!D186)</f>
        <v>im Alter 61</v>
      </c>
      <c r="D28" s="967">
        <f>IF(B28="","",ROUND(Input!E60,0))</f>
        <v>387252</v>
      </c>
      <c r="G28" s="967">
        <f>IF(B28="","",ROUND(Input!G60,0))</f>
        <v>18588</v>
      </c>
      <c r="J28" s="967">
        <f>IF(B28="","",ROUND(Input!H60,0))</f>
        <v>1549</v>
      </c>
      <c r="K28" s="708"/>
    </row>
    <row r="29" spans="1:11" s="445" customFormat="1" ht="13.2" x14ac:dyDescent="0.25">
      <c r="A29" s="447"/>
      <c r="B29" s="445" t="str">
        <f>IF($K$25&gt;62,"",Übersetzungen!D185)</f>
        <v>im Alter 62</v>
      </c>
      <c r="D29" s="967">
        <f>IF(B29="","",ROUND(Input!E61,0))</f>
        <v>412998</v>
      </c>
      <c r="G29" s="967">
        <f>IF(B29="","",ROUND(Input!G61,0))</f>
        <v>20443</v>
      </c>
      <c r="J29" s="967">
        <f>IF(B29="","",ROUND(Input!H61,0))</f>
        <v>1704</v>
      </c>
      <c r="K29" s="708"/>
    </row>
    <row r="30" spans="1:11" s="445" customFormat="1" ht="13.2" x14ac:dyDescent="0.25">
      <c r="A30" s="447"/>
      <c r="B30" s="445" t="str">
        <f>IF($K$25&gt;63,"",Übersetzungen!D184)</f>
        <v>im Alter 63</v>
      </c>
      <c r="D30" s="967">
        <f>IF(B30="","",ROUND(Input!E62,0))</f>
        <v>439257</v>
      </c>
      <c r="G30" s="967">
        <f>IF(B30="","",ROUND(Input!G62,0))</f>
        <v>22402</v>
      </c>
      <c r="J30" s="967">
        <f>IF(B30="","",ROUND(Input!H62,0))</f>
        <v>1867</v>
      </c>
      <c r="K30" s="708"/>
    </row>
    <row r="31" spans="1:11" s="445" customFormat="1" ht="13.2" x14ac:dyDescent="0.25">
      <c r="A31" s="447"/>
      <c r="B31" s="445" t="str">
        <f>IF($K$25&gt;64,"",Übersetzungen!D183)</f>
        <v>im Alter 64</v>
      </c>
      <c r="D31" s="967">
        <f>IF(B31="","",ROUND(Input!E63,0))</f>
        <v>466043</v>
      </c>
      <c r="G31" s="967">
        <f>IF(B31="","",ROUND(Input!G63,0))</f>
        <v>24467</v>
      </c>
      <c r="J31" s="967">
        <f>IF(B31="","",ROUND(Input!H63,0))</f>
        <v>2039</v>
      </c>
      <c r="K31" s="708"/>
    </row>
    <row r="32" spans="1:11" s="445" customFormat="1" ht="13.2" x14ac:dyDescent="0.25">
      <c r="A32" s="447"/>
      <c r="B32" s="445" t="str">
        <f>IF($K$25&gt;65,"",IF(Renten!$Q$71&lt;65,Übersetzungen!D181,Übersetzungen!D182))</f>
        <v>im AHV-Referenzalter</v>
      </c>
      <c r="D32" s="967">
        <f>IF(B32="","",ROUND(Input!E64,0))</f>
        <v>493363</v>
      </c>
      <c r="G32" s="967">
        <f>IF(B32="","",ROUND(Input!G64,0))</f>
        <v>26642</v>
      </c>
      <c r="J32" s="967">
        <f>IF(B32="","",ROUND(Input!H64,0))</f>
        <v>2220</v>
      </c>
      <c r="K32" s="708"/>
    </row>
    <row r="33" spans="1:11" s="445" customFormat="1" ht="13.2" x14ac:dyDescent="0.25">
      <c r="A33" s="447"/>
      <c r="B33" s="445" t="str">
        <f>IF($K$25&gt;66,"",Übersetzungen!D180)</f>
        <v>im Alter 66</v>
      </c>
      <c r="D33" s="967">
        <f>IF(B33="","",ROUND(Input!E65,0))</f>
        <v>521231</v>
      </c>
      <c r="G33" s="967">
        <f>IF(B33="","",ROUND(Input!G65,0))</f>
        <v>28928</v>
      </c>
      <c r="J33" s="967">
        <f>IF(B33="","",ROUND(Input!H65,0))</f>
        <v>2411</v>
      </c>
      <c r="K33" s="708"/>
    </row>
    <row r="34" spans="1:11" s="445" customFormat="1" ht="13.2" x14ac:dyDescent="0.25">
      <c r="A34" s="447"/>
      <c r="B34" s="445" t="str">
        <f>IF($K$25&gt;67,"",Übersetzungen!D179)</f>
        <v>im Alter 67</v>
      </c>
      <c r="D34" s="967">
        <f>IF(B34="","",ROUND(Input!E66,0))</f>
        <v>549655</v>
      </c>
      <c r="G34" s="967">
        <f>IF(B34="","",ROUND(Input!G66,0))</f>
        <v>31330</v>
      </c>
      <c r="J34" s="967">
        <f>IF(B34="","",ROUND(Input!H66,0))</f>
        <v>2611</v>
      </c>
      <c r="K34" s="708"/>
    </row>
    <row r="35" spans="1:11" s="445" customFormat="1" ht="13.2" x14ac:dyDescent="0.25">
      <c r="A35" s="447"/>
      <c r="B35" s="445" t="str">
        <f>IF($K$25&gt;68,"",Übersetzungen!D178)</f>
        <v>im Alter 68</v>
      </c>
      <c r="D35" s="967">
        <f>IF(B35="","",ROUND(Input!E67,0))</f>
        <v>578648</v>
      </c>
      <c r="G35" s="967">
        <f>IF(B35="","",ROUND(Input!G67,0))</f>
        <v>33851</v>
      </c>
      <c r="J35" s="967">
        <f>IF(B35="","",ROUND(Input!H67,0))</f>
        <v>2821</v>
      </c>
      <c r="K35" s="708"/>
    </row>
    <row r="36" spans="1:11" s="445" customFormat="1" ht="13.2" x14ac:dyDescent="0.25">
      <c r="A36" s="447"/>
      <c r="B36" s="445" t="str">
        <f>IF($K$25&gt;69,"",Übersetzungen!D177)</f>
        <v>im Alter 69</v>
      </c>
      <c r="D36" s="967">
        <f>IF(B36="","",ROUND(Input!E68,0))</f>
        <v>608221</v>
      </c>
      <c r="G36" s="967">
        <f>IF(B36="","",ROUND(Input!G68,0))</f>
        <v>36493</v>
      </c>
      <c r="J36" s="967">
        <f>IF(B36="","",ROUND(Input!H68,0))</f>
        <v>3041</v>
      </c>
      <c r="K36" s="708"/>
    </row>
    <row r="37" spans="1:11" s="445" customFormat="1" ht="13.2" x14ac:dyDescent="0.25">
      <c r="A37" s="447"/>
      <c r="B37" s="445" t="str">
        <f>IF($K$25&gt;70,"",Übersetzungen!D176)</f>
        <v>im Alter 70</v>
      </c>
      <c r="D37" s="967">
        <f>IF(B37="","",ROUND(Input!E69,0))</f>
        <v>638386</v>
      </c>
      <c r="G37" s="967">
        <f>IF(B37="","",ROUND(Input!G69,0))</f>
        <v>39261</v>
      </c>
      <c r="J37" s="967">
        <f>IF(B37="","",ROUND(Input!H69,0))</f>
        <v>3272</v>
      </c>
      <c r="K37" s="708"/>
    </row>
    <row r="38" spans="1:11" s="445" customFormat="1" ht="12.75" customHeight="1" x14ac:dyDescent="0.25">
      <c r="A38" s="447"/>
      <c r="G38" s="446"/>
      <c r="J38" s="446"/>
      <c r="K38" s="708"/>
    </row>
    <row r="39" spans="1:11" s="445" customFormat="1" ht="12.75" customHeight="1" x14ac:dyDescent="0.25">
      <c r="A39" s="447"/>
      <c r="B39" s="445" t="str">
        <f>IF(Renten!Y58&gt;0,"Achtung: Renten berechnet gemäss BVG-Minimalbestimmungen.","")</f>
        <v/>
      </c>
      <c r="G39" s="446"/>
      <c r="J39" s="446"/>
      <c r="K39" s="708"/>
    </row>
    <row r="40" spans="1:11" s="445" customFormat="1" ht="12.75" customHeight="1" x14ac:dyDescent="0.25">
      <c r="A40" s="447"/>
      <c r="G40" s="446"/>
      <c r="J40" s="446"/>
      <c r="K40" s="708"/>
    </row>
    <row r="41" spans="1:11" s="445" customFormat="1" ht="39.75" customHeight="1" x14ac:dyDescent="0.25">
      <c r="A41" s="447"/>
      <c r="B41" s="1383" t="str">
        <f>Übersetzungen!D363</f>
        <v>Seit dem 1. Januar 2021 ist die Umwandlung in eine Altersrente bis zu einem vorhandenen Altersguthaben von CHF 1.5 Mio. (Verrentungsgrenze) möglich. Das diesen Betrag übersteigende Altersguthaben ist in Kapitalform zu beziehen.</v>
      </c>
      <c r="C41" s="1383"/>
      <c r="D41" s="1383"/>
      <c r="E41" s="1383"/>
      <c r="F41" s="1383"/>
      <c r="G41" s="1383"/>
      <c r="H41" s="1383"/>
      <c r="I41" s="1383"/>
      <c r="J41" s="1383"/>
      <c r="K41" s="708"/>
    </row>
    <row r="42" spans="1:11" s="445" customFormat="1" ht="24" customHeight="1" x14ac:dyDescent="0.25">
      <c r="A42" s="447"/>
      <c r="B42" s="1276"/>
      <c r="C42" s="1276"/>
      <c r="D42" s="1276"/>
      <c r="E42" s="1276"/>
      <c r="F42" s="1276"/>
      <c r="G42" s="1276"/>
      <c r="H42" s="1276"/>
      <c r="I42" s="1276"/>
      <c r="J42" s="1276"/>
      <c r="K42" s="708"/>
    </row>
    <row r="43" spans="1:11" s="445" customFormat="1" ht="15" customHeight="1" x14ac:dyDescent="0.25">
      <c r="A43" s="444"/>
      <c r="G43" s="446"/>
      <c r="J43" s="446"/>
      <c r="K43" s="708"/>
    </row>
    <row r="44" spans="1:11" s="445" customFormat="1" ht="12.75" customHeight="1" x14ac:dyDescent="0.25">
      <c r="A44" s="1377" t="str">
        <f>Übersetzungen!D222</f>
        <v>Diese Offerte wurde nach dem ab 1.1.2023 gültigen Vorsorgereglement erstellt.</v>
      </c>
      <c r="B44" s="1377"/>
      <c r="C44" s="1377"/>
      <c r="D44" s="1377"/>
      <c r="E44" s="1377"/>
      <c r="F44" s="1377"/>
      <c r="G44" s="1377"/>
      <c r="H44" s="1377"/>
      <c r="I44" s="1377"/>
      <c r="J44" s="1377"/>
      <c r="K44" s="705"/>
    </row>
    <row r="45" spans="1:11" s="445" customFormat="1" ht="12.75" customHeight="1" x14ac:dyDescent="0.25">
      <c r="A45" s="1377" t="str">
        <f>Übersetzungen!D223</f>
        <v>Vorbehalten bleiben Änderungen des versicherten Lohnes, des Reglements oder der Gesetze.</v>
      </c>
      <c r="B45" s="1377"/>
      <c r="C45" s="1377"/>
      <c r="D45" s="1377"/>
      <c r="E45" s="1377"/>
      <c r="F45" s="1377"/>
      <c r="G45" s="1377"/>
      <c r="H45" s="1377"/>
      <c r="I45" s="1377"/>
      <c r="J45" s="1377"/>
      <c r="K45" s="705"/>
    </row>
    <row r="46" spans="1:11" s="445" customFormat="1" ht="12.75" customHeight="1" x14ac:dyDescent="0.25">
      <c r="A46" s="1377" t="str">
        <f>Übersetzungen!D224</f>
        <v>Verbindlich sind nur die Berechnungen durch die PAT-BVG.</v>
      </c>
      <c r="B46" s="1377"/>
      <c r="C46" s="1377"/>
      <c r="D46" s="1377"/>
      <c r="E46" s="1377"/>
      <c r="F46" s="1377"/>
      <c r="G46" s="1377"/>
      <c r="H46" s="1377"/>
      <c r="I46" s="1377"/>
      <c r="J46" s="1377"/>
      <c r="K46" s="708"/>
    </row>
    <row r="47" spans="1:11" s="445" customFormat="1" ht="12.75" customHeight="1" x14ac:dyDescent="0.25">
      <c r="A47" s="1377" t="str">
        <f>Übersetzungen!D225</f>
        <v>Die Risikobeurteilung und die definitive Aufnahmebestätigung erfolgen ausschliesslich durch die PAT-BVG.</v>
      </c>
      <c r="B47" s="1377"/>
      <c r="C47" s="1377"/>
      <c r="D47" s="1377"/>
      <c r="E47" s="1377"/>
      <c r="F47" s="1377"/>
      <c r="G47" s="1377"/>
      <c r="H47" s="1377"/>
      <c r="I47" s="1377"/>
      <c r="J47" s="1377"/>
      <c r="K47" s="705"/>
    </row>
    <row r="48" spans="1:11" s="445" customFormat="1" ht="25.5" customHeight="1" x14ac:dyDescent="0.25">
      <c r="A48" s="1379"/>
      <c r="B48" s="1379"/>
      <c r="C48" s="1379"/>
      <c r="D48" s="1379"/>
      <c r="E48" s="1379"/>
      <c r="F48" s="1379"/>
      <c r="G48" s="1379"/>
      <c r="H48" s="1379"/>
      <c r="I48" s="1379"/>
      <c r="J48" s="1379"/>
      <c r="K48" s="705"/>
    </row>
    <row r="49" spans="1:18" s="445" customFormat="1" ht="12.75" customHeight="1" x14ac:dyDescent="0.25">
      <c r="A49" s="444"/>
      <c r="G49" s="446"/>
      <c r="J49" s="446"/>
      <c r="K49" s="708"/>
    </row>
    <row r="50" spans="1:18" s="445" customFormat="1" ht="13.2" x14ac:dyDescent="0.25">
      <c r="A50" s="445" t="str">
        <f ca="1">IF(Input!E87="",CONCATENATE(Übersetzungen!D227,TEXT(Input!J88,"T.M.JJJJ"),"."),CONCATENATE(Übersetzungen!D228,Input!E87,Übersetzungen!D229,TEXT(Input!J88,"T.M.JJJJ"),"."))</f>
        <v>Erstellt am 17.5.2023.</v>
      </c>
      <c r="G50" s="446"/>
      <c r="K50" s="708"/>
    </row>
    <row r="51" spans="1:18" s="445" customFormat="1" ht="13.2" x14ac:dyDescent="0.25">
      <c r="A51" s="445" t="str">
        <f>IF(AND(Input!E88&lt;&gt;"",Input!E89&lt;&gt;""),CONCATENATE(Übersetzungen!D230,Input!E88,", ","Tel. ",Input!E89,"."),IF(Input!E88&lt;&gt;"",CONCATENATE(Übersetzungen!D230,Input!E88,"."),""))</f>
        <v/>
      </c>
      <c r="G51" s="446"/>
      <c r="K51" s="708"/>
    </row>
    <row r="52" spans="1:18" s="445" customFormat="1" ht="13.5" customHeight="1" x14ac:dyDescent="0.25">
      <c r="A52" s="444"/>
      <c r="G52" s="446"/>
      <c r="J52" s="917" t="str">
        <f ca="1">Input!H90</f>
        <v>17.5.23 / Tool 2024 (V 30.04.2023)</v>
      </c>
      <c r="K52" s="708"/>
    </row>
    <row r="56" spans="1:18" s="151" customFormat="1" x14ac:dyDescent="0.25">
      <c r="A56" s="149"/>
      <c r="B56" s="150"/>
      <c r="C56" s="150"/>
      <c r="D56" s="150"/>
      <c r="E56" s="150"/>
      <c r="F56" s="206"/>
      <c r="H56" s="150"/>
      <c r="I56" s="150"/>
      <c r="K56" s="710"/>
      <c r="L56" s="150"/>
      <c r="M56" s="150"/>
      <c r="N56" s="150"/>
      <c r="O56" s="150"/>
      <c r="P56" s="150"/>
      <c r="Q56" s="150"/>
      <c r="R56" s="150"/>
    </row>
  </sheetData>
  <sheetProtection algorithmName="SHA-512" hashValue="U9PL/6CR3BQC44EYn7QJEMUc/ItVEd9kvqcBq/9ee8AwaQwKHpfFzcKpnEAaJnJ9oseRkKOe9136oBY+fIdaQA==" saltValue="zll2q24TflHybt1bddnpjQ==" spinCount="100000" sheet="1" objects="1" scenarios="1" selectLockedCells="1" selectUnlockedCells="1"/>
  <mergeCells count="9">
    <mergeCell ref="A48:J48"/>
    <mergeCell ref="I24:J24"/>
    <mergeCell ref="A8:J8"/>
    <mergeCell ref="F10:G10"/>
    <mergeCell ref="A44:J44"/>
    <mergeCell ref="A45:J45"/>
    <mergeCell ref="A46:J46"/>
    <mergeCell ref="A47:J47"/>
    <mergeCell ref="B41:J41"/>
  </mergeCells>
  <conditionalFormatting sqref="A8:J8">
    <cfRule type="cellIs" dxfId="18" priority="1" stopIfTrue="1" operator="notEqual">
      <formula>""</formula>
    </cfRule>
  </conditionalFormatting>
  <conditionalFormatting sqref="A48:J48">
    <cfRule type="expression" dxfId="17" priority="12" stopIfTrue="1">
      <formula>#REF!=1</formula>
    </cfRule>
  </conditionalFormatting>
  <pageMargins left="0.59055118110236227" right="0.39370078740157483" top="0.39370078740157483" bottom="0.19685039370078741" header="0.39370078740157483" footer="0.5118110236220472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indexed="12"/>
    <pageSetUpPr fitToPage="1"/>
  </sheetPr>
  <dimension ref="A1:Y62"/>
  <sheetViews>
    <sheetView showGridLines="0" zoomScale="120" zoomScaleNormal="120" workbookViewId="0"/>
  </sheetViews>
  <sheetFormatPr baseColWidth="10" defaultColWidth="12.5546875" defaultRowHeight="13.8" x14ac:dyDescent="0.25"/>
  <cols>
    <col min="1" max="1" width="18.5546875" style="410" customWidth="1"/>
    <col min="2" max="2" width="21.44140625" style="410" customWidth="1"/>
    <col min="3" max="3" width="10" style="410" hidden="1" customWidth="1"/>
    <col min="4" max="5" width="8.109375" style="410" hidden="1" customWidth="1"/>
    <col min="6" max="6" width="11.33203125" style="410" hidden="1" customWidth="1"/>
    <col min="7" max="7" width="11.44140625" style="410" customWidth="1"/>
    <col min="8" max="8" width="3.88671875" style="410" customWidth="1"/>
    <col min="9" max="9" width="14.109375" style="410" customWidth="1"/>
    <col min="10" max="10" width="5.44140625" style="410" customWidth="1"/>
    <col min="11" max="11" width="11.5546875" style="410" customWidth="1"/>
    <col min="12" max="12" width="5.88671875" style="410" customWidth="1"/>
    <col min="13" max="13" width="11.44140625" style="410" customWidth="1"/>
    <col min="14" max="14" width="7" style="410" customWidth="1"/>
    <col min="15" max="15" width="4.44140625" style="490" hidden="1" customWidth="1"/>
    <col min="16" max="17" width="10.44140625" style="508" hidden="1" customWidth="1"/>
    <col min="18" max="20" width="7.5546875" style="508" hidden="1" customWidth="1"/>
    <col min="21" max="24" width="10.44140625" style="508" hidden="1" customWidth="1"/>
    <col min="25" max="25" width="4.44140625" style="490" hidden="1" customWidth="1"/>
    <col min="26" max="16384" width="12.5546875" style="410"/>
  </cols>
  <sheetData>
    <row r="1" spans="1:25" ht="76.5" customHeight="1" x14ac:dyDescent="0.25"/>
    <row r="2" spans="1:25" s="443" customFormat="1" ht="18" customHeight="1" x14ac:dyDescent="0.25">
      <c r="A2" s="442" t="str">
        <f>Übersetzungen!D339</f>
        <v>Vorsorgeplanbeschrieb</v>
      </c>
      <c r="I2" s="1393" t="str">
        <f>IF(Input!E6="","",Input!E6)</f>
        <v/>
      </c>
      <c r="J2" s="1393"/>
      <c r="K2" s="1393"/>
      <c r="L2" s="1393"/>
      <c r="M2" s="1393"/>
      <c r="N2" s="1393"/>
      <c r="O2" s="491"/>
      <c r="P2" s="509"/>
      <c r="Q2" s="509"/>
      <c r="R2" s="509"/>
      <c r="S2" s="509"/>
      <c r="T2" s="509"/>
      <c r="U2" s="509"/>
      <c r="V2" s="509"/>
      <c r="W2" s="509"/>
      <c r="X2" s="509"/>
      <c r="Y2" s="491"/>
    </row>
    <row r="3" spans="1:25" ht="17.25" customHeight="1" x14ac:dyDescent="0.25">
      <c r="A3" s="649"/>
      <c r="B3" s="649"/>
      <c r="C3" s="649"/>
      <c r="D3" s="649"/>
      <c r="E3" s="649"/>
      <c r="F3" s="649"/>
      <c r="G3" s="649"/>
      <c r="H3" s="649"/>
      <c r="I3" s="649"/>
      <c r="J3" s="649"/>
      <c r="K3" s="649"/>
      <c r="L3" s="649"/>
      <c r="M3" s="649"/>
      <c r="N3" s="650" t="str">
        <f>'Ausweis-Certificat'!J12</f>
        <v xml:space="preserve">  </v>
      </c>
    </row>
    <row r="4" spans="1:25" s="412" customFormat="1" ht="11.25" customHeight="1" x14ac:dyDescent="0.25">
      <c r="A4" s="651" t="str">
        <f>'Zusatzblatt-Feuille supplément.'!A9</f>
        <v>Module</v>
      </c>
      <c r="B4" s="651"/>
      <c r="C4" s="651"/>
      <c r="D4" s="651"/>
      <c r="E4" s="651"/>
      <c r="F4" s="651"/>
      <c r="G4" s="651" t="str">
        <f>'Zusatzblatt-Feuille supplément.'!D9</f>
        <v>Vers.</v>
      </c>
      <c r="H4" s="651" t="s">
        <v>1793</v>
      </c>
      <c r="I4" s="651" t="str">
        <f>'Zusatzblatt-Feuille supplément.'!F9</f>
        <v>Plan Nr.</v>
      </c>
      <c r="J4" s="651"/>
      <c r="K4" s="652" t="str">
        <f>CONCATENATE('Ausweis-Certificat'!H8,"   ")</f>
        <v xml:space="preserve">IV   </v>
      </c>
      <c r="L4" s="651" t="str">
        <f>'Ausweis-Certificat'!I8</f>
        <v/>
      </c>
      <c r="M4" s="651"/>
      <c r="N4" s="652" t="str">
        <f>'Zusatzblatt-Feuille supplément.'!J9</f>
        <v>Pers.-Kreis</v>
      </c>
      <c r="O4" s="494"/>
      <c r="P4" s="507"/>
      <c r="Q4" s="507"/>
      <c r="R4" s="507"/>
      <c r="S4" s="507"/>
      <c r="T4" s="507"/>
      <c r="U4" s="507"/>
      <c r="V4" s="507"/>
      <c r="W4" s="507"/>
      <c r="X4" s="507"/>
      <c r="Y4" s="494"/>
    </row>
    <row r="5" spans="1:25" s="455" customFormat="1" ht="11.25" customHeight="1" x14ac:dyDescent="0.25">
      <c r="A5" s="648" t="str">
        <f>'Ausweis-Certificat'!A9</f>
        <v>L4_keine_keine / 720/R2/TK0/Bb_Plan/A1/25/ZS0</v>
      </c>
      <c r="B5" s="631"/>
      <c r="C5" s="648"/>
      <c r="D5" s="648"/>
      <c r="E5" s="648"/>
      <c r="F5" s="648"/>
      <c r="G5" s="632" t="str">
        <f>'Ausweis-Certificat'!D9</f>
        <v>SE&lt;50</v>
      </c>
      <c r="H5" s="653">
        <f>'Ausweis-Certificat'!E9</f>
        <v>423</v>
      </c>
      <c r="I5" s="643" t="str">
        <f>'Ausweis-Certificat'!F9</f>
        <v>22011001</v>
      </c>
      <c r="J5" s="648"/>
      <c r="K5" s="633" t="str">
        <f>CONCATENATE('Ausweis-Certificat'!H9,"   ")</f>
        <v xml:space="preserve">40   </v>
      </c>
      <c r="L5" s="636" t="str">
        <f>'Ausweis-Certificat'!I9</f>
        <v/>
      </c>
      <c r="M5" s="633"/>
      <c r="N5" s="634" t="str">
        <f>'Ausweis-Certificat'!J9</f>
        <v>102_</v>
      </c>
      <c r="O5" s="492"/>
      <c r="Y5" s="500"/>
    </row>
    <row r="6" spans="1:25" ht="13.5" customHeight="1" x14ac:dyDescent="0.25">
      <c r="A6" s="1401" t="str">
        <f>IF(AND(Input!F11&gt;65,Input!K3=1),Übersetzungen!D341,(IF(AND(Input!F11&gt;64,Input!K3=2),Übersetzungen!D341,"")))</f>
        <v/>
      </c>
      <c r="B6" s="1401"/>
      <c r="C6" s="1401"/>
      <c r="D6" s="1401"/>
      <c r="E6" s="1401"/>
      <c r="F6" s="1401"/>
      <c r="G6" s="1401"/>
      <c r="H6" s="1401"/>
      <c r="I6" s="1401"/>
      <c r="J6" s="1401"/>
      <c r="K6" s="1401"/>
      <c r="L6" s="1401"/>
      <c r="M6" s="1401"/>
      <c r="N6" s="1401"/>
    </row>
    <row r="7" spans="1:25" s="440" customFormat="1" ht="19.350000000000001" customHeight="1" x14ac:dyDescent="0.25">
      <c r="A7" s="954" t="str">
        <f>Übersetzungen!D340</f>
        <v>BERECHNUNG DES VERSICHERTEN EINKOMMENS</v>
      </c>
      <c r="B7" s="955"/>
      <c r="C7" s="955"/>
      <c r="D7" s="955"/>
      <c r="E7" s="955"/>
      <c r="F7" s="955"/>
      <c r="G7" s="955"/>
      <c r="H7" s="955"/>
      <c r="I7" s="955"/>
      <c r="J7" s="955"/>
      <c r="K7" s="955"/>
      <c r="L7" s="955"/>
      <c r="M7" s="955"/>
      <c r="N7" s="956" t="str">
        <f>CONCATENATE("L",Wertebereich!$B$2)</f>
        <v>L4</v>
      </c>
      <c r="O7" s="493"/>
      <c r="P7" s="510"/>
      <c r="Q7" s="510"/>
      <c r="R7" s="510"/>
      <c r="S7" s="510"/>
      <c r="T7" s="510"/>
      <c r="U7" s="510"/>
      <c r="V7" s="510"/>
      <c r="W7" s="510"/>
      <c r="X7" s="510"/>
      <c r="Y7" s="493"/>
    </row>
    <row r="8" spans="1:25" ht="3.6" customHeight="1" x14ac:dyDescent="0.25">
      <c r="A8" s="411"/>
      <c r="B8" s="411"/>
      <c r="C8" s="411"/>
      <c r="D8" s="411"/>
      <c r="E8" s="411"/>
      <c r="F8" s="411"/>
      <c r="G8" s="411"/>
      <c r="H8" s="411"/>
      <c r="I8" s="411"/>
      <c r="J8" s="411"/>
      <c r="K8" s="411"/>
      <c r="L8" s="411"/>
      <c r="M8" s="411"/>
    </row>
    <row r="9" spans="1:25" s="412" customFormat="1" x14ac:dyDescent="0.25">
      <c r="A9" s="654" t="str">
        <f>IF(Wertebereich!B2=5,Übersetzungen!D342,IF(Wertebereich!B2=3,Übersetzungen!D343,IF(Wertebereich!B2=2,Übersetzungen!D344,IF(Wertebereich!B2=1,Übersetzungen!D345,Übersetzungen!D346))))</f>
        <v>AHV-Einkommen ohne Abzug eines Koordinationsbetrags. Versichert ist das gesamte AHV-Einkommen.</v>
      </c>
      <c r="B9" s="411"/>
      <c r="C9" s="411"/>
      <c r="D9" s="411"/>
      <c r="E9" s="411"/>
      <c r="F9" s="411"/>
      <c r="G9" s="411"/>
      <c r="H9" s="411"/>
      <c r="I9" s="411"/>
      <c r="J9" s="411"/>
      <c r="K9" s="411"/>
      <c r="L9" s="411"/>
      <c r="M9" s="411"/>
      <c r="N9" s="411"/>
      <c r="O9" s="494"/>
      <c r="P9" s="508"/>
      <c r="Q9" s="508"/>
      <c r="R9" s="508"/>
      <c r="S9" s="508"/>
      <c r="T9" s="508"/>
      <c r="U9" s="508"/>
      <c r="V9" s="508"/>
      <c r="W9" s="508"/>
      <c r="X9" s="508"/>
      <c r="Y9" s="494"/>
    </row>
    <row r="10" spans="1:25" s="412" customFormat="1" x14ac:dyDescent="0.25">
      <c r="A10" s="411" t="str">
        <f>IF(Wertebereich!B2=5,Übersetzungen!D347,IF(Wertebereich!B31=1,Übersetzungen!D348,IF(Wertebereich!B31=2,Übersetzungen!D349,IF(Wertebereich!B31=3,Übersetzungen!D347,IF(Wertebereich!B31=4,Übersetzungen!D351,IF(Wertebereich!B31=6,Übersetzungen!D353,IF(Wertebereich!B31=7,Übersetzungen!D354,Übersetzungen!D352)))))))</f>
        <v>Der versicherte Lohn ist nach oben nicht begrenzt.</v>
      </c>
      <c r="B10" s="411"/>
      <c r="C10" s="411"/>
      <c r="D10" s="411"/>
      <c r="E10" s="411"/>
      <c r="F10" s="411"/>
      <c r="G10" s="411"/>
      <c r="H10" s="411"/>
      <c r="I10" s="411"/>
      <c r="J10" s="411"/>
      <c r="K10" s="411"/>
      <c r="L10" s="411"/>
      <c r="M10" s="411"/>
      <c r="N10" s="411"/>
      <c r="O10" s="494"/>
      <c r="P10" s="508"/>
      <c r="Q10" s="508"/>
      <c r="R10" s="508"/>
      <c r="S10" s="508"/>
      <c r="T10" s="508"/>
      <c r="U10" s="508"/>
      <c r="V10" s="508"/>
      <c r="W10" s="508"/>
      <c r="X10" s="508"/>
      <c r="Y10" s="494"/>
    </row>
    <row r="11" spans="1:25" s="412" customFormat="1" x14ac:dyDescent="0.25">
      <c r="A11" s="654" t="str">
        <f>IF(Wertebereich!B2=5,Übersetzungen!D355,IF(AND(Wertebereich!B2=2,Wertebereich!B52=3),Übersetzungen!D357,IF(AND(Wertebereich!B2=2,Wertebereich!B52=1),Übersetzungen!D356,IF(Wertebereich!B52=1,Übersetzungen!D357,IF(Wertebereich!B52=2,Übersetzungen!D358,"Fehler")))))</f>
        <v>Versichert sind auch jene Personen, deren Jahresgehalt die Eintrittsschwelle gemäss BVG nicht erreicht.</v>
      </c>
      <c r="B11" s="411"/>
      <c r="C11" s="411"/>
      <c r="D11" s="411"/>
      <c r="E11" s="411"/>
      <c r="F11" s="411"/>
      <c r="G11" s="411"/>
      <c r="H11" s="411"/>
      <c r="I11" s="411"/>
      <c r="J11" s="411"/>
      <c r="K11" s="411"/>
      <c r="L11" s="411"/>
      <c r="M11" s="411"/>
      <c r="N11" s="411"/>
      <c r="O11" s="494"/>
      <c r="P11" s="508"/>
      <c r="Q11" s="508"/>
      <c r="R11" s="508"/>
      <c r="S11" s="508"/>
      <c r="T11" s="508"/>
      <c r="U11" s="508"/>
      <c r="V11" s="508"/>
      <c r="W11" s="508"/>
      <c r="X11" s="508"/>
      <c r="Y11" s="494"/>
    </row>
    <row r="12" spans="1:25" ht="12.75" customHeight="1" x14ac:dyDescent="0.25">
      <c r="A12" s="411"/>
    </row>
    <row r="13" spans="1:25" s="440" customFormat="1" ht="19.350000000000001" customHeight="1" x14ac:dyDescent="0.25">
      <c r="A13" s="954" t="str">
        <f>IF(P13=1,Übersetzungen!D359,IF(P13=2,Übersetzungen!D360,Übersetzungen!D361))</f>
        <v>ALTERSVORSORGE</v>
      </c>
      <c r="B13" s="955"/>
      <c r="C13" s="955"/>
      <c r="D13" s="955"/>
      <c r="E13" s="955"/>
      <c r="F13" s="955"/>
      <c r="G13" s="955"/>
      <c r="H13" s="955"/>
      <c r="I13" s="955"/>
      <c r="J13" s="955"/>
      <c r="K13" s="955"/>
      <c r="L13" s="955"/>
      <c r="M13" s="955"/>
      <c r="N13" s="956" t="str">
        <f>CONCATENATE("A",Wertebereich!$B$9)</f>
        <v>A1</v>
      </c>
      <c r="O13" s="493"/>
      <c r="P13" s="810">
        <f>Input!J32</f>
        <v>3</v>
      </c>
      <c r="Q13" s="510"/>
      <c r="R13" s="510"/>
      <c r="S13" s="510"/>
      <c r="T13" s="510"/>
      <c r="U13" s="510"/>
      <c r="V13" s="510"/>
      <c r="W13" s="510"/>
      <c r="X13" s="510"/>
      <c r="Y13" s="493"/>
    </row>
    <row r="14" spans="1:25" ht="3.6" customHeight="1" x14ac:dyDescent="0.25">
      <c r="A14" s="411"/>
      <c r="B14" s="411"/>
      <c r="C14" s="411"/>
      <c r="D14" s="411"/>
      <c r="E14" s="411"/>
      <c r="F14" s="411"/>
      <c r="G14" s="411"/>
      <c r="H14" s="411"/>
      <c r="I14" s="411"/>
      <c r="J14" s="411"/>
      <c r="K14" s="411"/>
      <c r="L14" s="411"/>
      <c r="M14" s="411"/>
    </row>
    <row r="15" spans="1:25" ht="60" customHeight="1" x14ac:dyDescent="0.25">
      <c r="A15" s="1400" t="str">
        <f>Übersetzungen!D362</f>
        <v xml:space="preserve">Der Altersrücktritt ist zwischen den Altern 58 und 70 möglich. Zur Berechnung der jährlichen Altersrente wird das vorhandene Altersguthaben und allfällige Zusatzguthaben aus Einzahlungen für den vorzeitigen Altersrücktritt mit einem Prozentsatz umgewandelt (Umwandlungssatz). Der volle oder teilweise Kapitalbezug anstelle der Altersrente ist möglich und muss vor der ersten Rentenzahlung schriftlich beantragt werden. </v>
      </c>
      <c r="B15" s="1399"/>
      <c r="C15" s="1399"/>
      <c r="D15" s="1399"/>
      <c r="E15" s="1399"/>
      <c r="F15" s="1399"/>
      <c r="G15" s="1399"/>
      <c r="H15" s="1399"/>
      <c r="I15" s="1399"/>
      <c r="J15" s="1399"/>
      <c r="K15" s="1399"/>
      <c r="L15" s="1399"/>
      <c r="M15" s="1399"/>
      <c r="N15" s="1399"/>
    </row>
    <row r="16" spans="1:25" ht="32.25" customHeight="1" x14ac:dyDescent="0.25">
      <c r="A16" s="1386" t="str">
        <f>Übersetzungen!D363</f>
        <v>Seit dem 1. Januar 2021 ist die Umwandlung in eine Altersrente bis zu einem vorhandenen Altersguthaben von CHF 1.5 Mio. (Verrentungsgrenze) möglich. Das diesen Betrag übersteigende Altersguthaben ist in Kapitalform zu beziehen.</v>
      </c>
      <c r="B16" s="1386"/>
      <c r="C16" s="1386"/>
      <c r="D16" s="1386"/>
      <c r="E16" s="1386"/>
      <c r="F16" s="1386"/>
      <c r="G16" s="1386"/>
      <c r="H16" s="1386"/>
      <c r="I16" s="1386"/>
      <c r="J16" s="1386"/>
      <c r="K16" s="1386"/>
      <c r="L16" s="1386"/>
      <c r="M16" s="1386"/>
      <c r="N16" s="1386"/>
    </row>
    <row r="17" spans="1:25" ht="18.75" customHeight="1" x14ac:dyDescent="0.25">
      <c r="A17" s="1386" t="str">
        <f>Übersetzungen!D364</f>
        <v>Die Umwandlungssätze (UWS) sind im Anhang II zum Vorsorgereglement definiert (siehe http://www.pat-bvg.ch).</v>
      </c>
      <c r="B17" s="1387"/>
      <c r="C17" s="1387"/>
      <c r="D17" s="1387"/>
      <c r="E17" s="1387"/>
      <c r="F17" s="1387"/>
      <c r="G17" s="1387"/>
      <c r="H17" s="1387"/>
      <c r="I17" s="1387"/>
      <c r="J17" s="1387"/>
      <c r="K17" s="1387"/>
      <c r="L17" s="1387"/>
      <c r="M17" s="1387"/>
      <c r="N17" s="1387"/>
      <c r="P17" s="511"/>
      <c r="Q17" s="511"/>
      <c r="R17" s="511"/>
      <c r="S17" s="511"/>
      <c r="T17" s="511"/>
    </row>
    <row r="18" spans="1:25" ht="3.6" customHeight="1" x14ac:dyDescent="0.25">
      <c r="A18" s="411"/>
      <c r="B18" s="411"/>
      <c r="C18" s="411"/>
      <c r="D18" s="411"/>
      <c r="E18" s="411"/>
      <c r="F18" s="411"/>
      <c r="G18" s="411"/>
      <c r="H18" s="411"/>
      <c r="I18" s="411"/>
      <c r="J18" s="411"/>
      <c r="K18" s="411"/>
      <c r="L18" s="411"/>
      <c r="M18" s="411"/>
    </row>
    <row r="19" spans="1:25" ht="29.1" customHeight="1" x14ac:dyDescent="0.25">
      <c r="A19" s="1388" t="str">
        <f>IF(OR(Wertebereich!B58=1,Wertebereich!B58=2),Übersetzungen!D365,Übersetzungen!D366)</f>
        <v>Bei Pensionierung ab dem ordentlichen AHV-Alter beträgt die Alterskinderrente 20% der Altersrente im ordentlichen AHV-Alter. Bei vorzeitiger Pensionierung berechnet sich die Alterskinderrente gemäss BVG.</v>
      </c>
      <c r="B19" s="1388"/>
      <c r="C19" s="1388"/>
      <c r="D19" s="1388"/>
      <c r="E19" s="1388"/>
      <c r="F19" s="1388"/>
      <c r="G19" s="1388"/>
      <c r="H19" s="1388"/>
      <c r="I19" s="1388"/>
      <c r="J19" s="1388"/>
      <c r="K19" s="1388"/>
      <c r="L19" s="1388"/>
      <c r="M19" s="1388"/>
      <c r="N19" s="1388"/>
    </row>
    <row r="20" spans="1:25" ht="12" customHeight="1" x14ac:dyDescent="0.25">
      <c r="A20" s="411"/>
    </row>
    <row r="21" spans="1:25" s="629" customFormat="1" ht="19.350000000000001" customHeight="1" x14ac:dyDescent="0.25">
      <c r="A21" s="957" t="str">
        <f>Übersetzungen!D367</f>
        <v>Zusätzlicher Sparbeitrag</v>
      </c>
      <c r="B21" s="957"/>
      <c r="C21" s="957"/>
      <c r="D21" s="957"/>
      <c r="E21" s="957"/>
      <c r="F21" s="957"/>
      <c r="G21" s="957"/>
      <c r="H21" s="957"/>
      <c r="I21" s="957"/>
      <c r="J21" s="957"/>
      <c r="K21" s="957"/>
      <c r="L21" s="957"/>
      <c r="M21" s="957"/>
      <c r="N21" s="958" t="str">
        <f>IF(Wertebereich!B20=3,"-",CONCATENATE("ZS",Wertebereich!B20))</f>
        <v>-</v>
      </c>
      <c r="O21" s="627"/>
      <c r="P21" s="628"/>
      <c r="Q21" s="628"/>
      <c r="R21" s="628"/>
      <c r="S21" s="628"/>
      <c r="T21" s="628"/>
      <c r="U21" s="628"/>
      <c r="V21" s="628"/>
      <c r="W21" s="628"/>
      <c r="X21" s="628"/>
      <c r="Y21" s="627"/>
    </row>
    <row r="22" spans="1:25" ht="3.6" customHeight="1" x14ac:dyDescent="0.25">
      <c r="A22" s="411"/>
      <c r="B22" s="411"/>
      <c r="C22" s="411"/>
      <c r="D22" s="411"/>
      <c r="E22" s="411"/>
      <c r="F22" s="411"/>
      <c r="G22" s="411"/>
      <c r="H22" s="411"/>
      <c r="I22" s="411"/>
      <c r="J22" s="411"/>
      <c r="K22" s="411"/>
      <c r="L22" s="411"/>
      <c r="M22" s="411"/>
    </row>
    <row r="23" spans="1:25" ht="14.25" customHeight="1" x14ac:dyDescent="0.25">
      <c r="A23" s="1399" t="str">
        <f>IF(Wertebereich!B20=3,Übersetzungen!D368,Übersetzungen!D369)</f>
        <v>Es ist kein zusätzlicher Sparbeitrag vereinbart (Module ZS).</v>
      </c>
      <c r="B23" s="1399"/>
      <c r="C23" s="1399"/>
      <c r="D23" s="1399"/>
      <c r="E23" s="1399"/>
      <c r="F23" s="1399"/>
      <c r="G23" s="1399"/>
      <c r="H23" s="1399"/>
      <c r="I23" s="1399"/>
      <c r="J23" s="1399"/>
      <c r="K23" s="1399"/>
      <c r="L23" s="1399"/>
      <c r="M23" s="1399"/>
      <c r="N23" s="1399"/>
    </row>
    <row r="24" spans="1:25" ht="12.75" customHeight="1" x14ac:dyDescent="0.25">
      <c r="A24" s="411"/>
    </row>
    <row r="25" spans="1:25" s="440" customFormat="1" ht="19.350000000000001" customHeight="1" x14ac:dyDescent="0.25">
      <c r="A25" s="954" t="str">
        <f>Übersetzungen!D370</f>
        <v>RISIKOVORSORGE</v>
      </c>
      <c r="B25" s="954"/>
      <c r="C25" s="954"/>
      <c r="D25" s="954"/>
      <c r="E25" s="954"/>
      <c r="F25" s="954"/>
      <c r="G25" s="954"/>
      <c r="H25" s="954"/>
      <c r="I25" s="954"/>
      <c r="J25" s="954"/>
      <c r="K25" s="954"/>
      <c r="L25" s="954"/>
      <c r="M25" s="954"/>
      <c r="N25" s="956" t="str">
        <f>IF(Wertebereich!B25=3,"-",CONCATENATE("R",Wertebereich!B25))</f>
        <v>R2</v>
      </c>
      <c r="O25" s="493"/>
      <c r="P25" s="510"/>
      <c r="Q25" s="510"/>
      <c r="R25" s="510"/>
      <c r="S25" s="510"/>
      <c r="T25" s="510"/>
      <c r="U25" s="510"/>
      <c r="V25" s="510"/>
      <c r="W25" s="510"/>
      <c r="X25" s="510"/>
      <c r="Y25" s="493"/>
    </row>
    <row r="26" spans="1:25" ht="3.6" customHeight="1" x14ac:dyDescent="0.25">
      <c r="A26" s="411"/>
      <c r="B26" s="411"/>
      <c r="C26" s="411"/>
      <c r="D26" s="411"/>
      <c r="E26" s="411"/>
      <c r="F26" s="411"/>
      <c r="G26" s="411"/>
      <c r="H26" s="411"/>
      <c r="I26" s="411"/>
      <c r="J26" s="411"/>
      <c r="K26" s="411"/>
      <c r="L26" s="411"/>
      <c r="M26" s="411"/>
    </row>
    <row r="27" spans="1:25" s="412" customFormat="1" x14ac:dyDescent="0.25">
      <c r="A27" s="1166" t="str">
        <f>Übersetzungen!D371</f>
        <v>Bei Tod oder Invalidität vor dem ordentlichen AHV-Alter betragen die jährlichen Leistungen:</v>
      </c>
      <c r="B27" s="411"/>
      <c r="C27" s="411"/>
      <c r="D27" s="411"/>
      <c r="E27" s="411"/>
      <c r="F27" s="411"/>
      <c r="G27" s="411"/>
      <c r="H27" s="411"/>
      <c r="I27" s="411"/>
      <c r="J27" s="411"/>
      <c r="K27" s="411"/>
      <c r="L27" s="411"/>
      <c r="M27" s="411"/>
      <c r="O27" s="494"/>
      <c r="P27" s="508"/>
      <c r="Q27" s="508"/>
      <c r="R27" s="508"/>
      <c r="S27" s="508"/>
      <c r="T27" s="508"/>
      <c r="U27" s="508"/>
      <c r="V27" s="508"/>
      <c r="W27" s="508"/>
      <c r="X27" s="508"/>
      <c r="Y27" s="494"/>
    </row>
    <row r="28" spans="1:25" s="412" customFormat="1" ht="6.75" customHeight="1" x14ac:dyDescent="0.25">
      <c r="A28" s="411"/>
      <c r="B28" s="411"/>
      <c r="C28" s="411"/>
      <c r="D28" s="411"/>
      <c r="E28" s="411"/>
      <c r="F28" s="411"/>
      <c r="G28" s="411"/>
      <c r="H28" s="411"/>
      <c r="I28" s="411"/>
      <c r="J28" s="411"/>
      <c r="K28" s="411"/>
      <c r="L28" s="411"/>
      <c r="M28" s="411"/>
      <c r="O28" s="494"/>
      <c r="P28" s="508"/>
      <c r="Q28" s="508"/>
      <c r="R28" s="508"/>
      <c r="S28" s="508"/>
      <c r="T28" s="508"/>
      <c r="U28" s="508"/>
      <c r="V28" s="508"/>
      <c r="W28" s="508"/>
      <c r="X28" s="508"/>
      <c r="Y28" s="494"/>
    </row>
    <row r="29" spans="1:25" s="412" customFormat="1" x14ac:dyDescent="0.25">
      <c r="A29" s="411" t="str">
        <f>Übersetzungen!D372</f>
        <v>Volle Invalidenrente</v>
      </c>
      <c r="B29" s="413"/>
      <c r="C29" s="413"/>
      <c r="D29" s="413"/>
      <c r="E29" s="413"/>
      <c r="F29" s="413"/>
      <c r="G29" s="413">
        <f>IF(Wertebereich!B25=3,Übersetzungen!D376,IF(Wertebereich!B25=2,VLOOKUP(Wertebereich!B68,Wertebereich!B69:C82,2),Übersetzungen!D377))</f>
        <v>0.4</v>
      </c>
      <c r="H29" s="414" t="str">
        <f>IF(G29&lt;30%,"*","")</f>
        <v/>
      </c>
      <c r="I29" s="411" t="str">
        <f>IF(AND(Input!K9=1,Input!K15=1,Input!K18=1,Input!K25=1,Input!K36=1,Input!K37=1,Input!K53=1),Übersetzungen!D378,IF(Wertebereich!B25=1,Übersetzungen!D379,IF(Wertebereich!B25=2,Übersetzungen!D380,"")))</f>
        <v>des versicherten Lohnes</v>
      </c>
      <c r="J29" s="411"/>
      <c r="K29" s="411"/>
      <c r="L29" s="411"/>
      <c r="M29" s="415"/>
      <c r="O29" s="494"/>
      <c r="P29" s="508"/>
      <c r="Q29" s="508"/>
      <c r="R29" s="508"/>
      <c r="S29" s="508"/>
      <c r="T29" s="508"/>
      <c r="U29" s="508"/>
      <c r="V29" s="508"/>
      <c r="W29" s="508"/>
      <c r="X29" s="508"/>
      <c r="Y29" s="494"/>
    </row>
    <row r="30" spans="1:25" s="412" customFormat="1" x14ac:dyDescent="0.25">
      <c r="A30" s="411" t="str">
        <f>Übersetzungen!D373</f>
        <v>Invaliden-Kinderrente</v>
      </c>
      <c r="B30" s="413"/>
      <c r="C30" s="413"/>
      <c r="D30" s="413"/>
      <c r="E30" s="413"/>
      <c r="F30" s="413"/>
      <c r="G30" s="413" t="str">
        <f>IF(Wertebereich!B25=3,"--","20%")</f>
        <v>20%</v>
      </c>
      <c r="H30" s="411"/>
      <c r="I30" s="411" t="str">
        <f>IF(Wertebereich!B25=3,"",Übersetzungen!D381)</f>
        <v>der versicherten Invalidenrente</v>
      </c>
      <c r="J30" s="411"/>
      <c r="K30" s="411"/>
      <c r="L30" s="411"/>
      <c r="M30" s="411"/>
      <c r="O30" s="494"/>
      <c r="P30" s="508"/>
      <c r="Q30" s="508"/>
      <c r="R30" s="508"/>
      <c r="S30" s="508"/>
      <c r="T30" s="508"/>
      <c r="U30" s="508"/>
      <c r="V30" s="508"/>
      <c r="W30" s="508"/>
      <c r="X30" s="508"/>
      <c r="Y30" s="494"/>
    </row>
    <row r="31" spans="1:25" s="412" customFormat="1" x14ac:dyDescent="0.25">
      <c r="A31" s="411" t="str">
        <f>Übersetzungen!D374</f>
        <v>Ehe- oder Lebenspartnerrente</v>
      </c>
      <c r="B31" s="413"/>
      <c r="C31" s="413"/>
      <c r="D31" s="413"/>
      <c r="E31" s="413"/>
      <c r="F31" s="413"/>
      <c r="G31" s="416" t="str">
        <f>IF(OR(Wertebereich!B25=1,Wertebereich!B25=2),"60%","60%")</f>
        <v>60%</v>
      </c>
      <c r="H31" s="411"/>
      <c r="I31" s="411" t="str">
        <f>IF(Wertebereich!B25=3,Übersetzungen!D382,Übersetzungen!D381)</f>
        <v>der versicherten Invalidenrente</v>
      </c>
      <c r="J31" s="411"/>
      <c r="K31" s="411"/>
      <c r="L31" s="411"/>
      <c r="M31" s="411"/>
      <c r="O31" s="494"/>
      <c r="P31" s="508"/>
      <c r="Q31" s="508"/>
      <c r="R31" s="508"/>
      <c r="S31" s="508"/>
      <c r="T31" s="508"/>
      <c r="U31" s="508"/>
      <c r="V31" s="508"/>
      <c r="W31" s="508"/>
      <c r="X31" s="508"/>
      <c r="Y31" s="494"/>
    </row>
    <row r="32" spans="1:25" s="412" customFormat="1" x14ac:dyDescent="0.25">
      <c r="A32" s="411" t="str">
        <f>Übersetzungen!D375</f>
        <v>Waisenrente</v>
      </c>
      <c r="B32" s="413"/>
      <c r="C32" s="413"/>
      <c r="D32" s="413"/>
      <c r="E32" s="413"/>
      <c r="F32" s="413"/>
      <c r="G32" s="413" t="str">
        <f>IF(Wertebereich!B25=3,"20%","20%")</f>
        <v>20%</v>
      </c>
      <c r="H32" s="411"/>
      <c r="I32" s="411" t="str">
        <f>IF(Wertebereich!B25=3,Übersetzungen!D383,Übersetzungen!D381)</f>
        <v>der versicherten Invalidenrente</v>
      </c>
      <c r="J32" s="411"/>
      <c r="K32" s="411"/>
      <c r="L32" s="411"/>
      <c r="M32" s="411"/>
      <c r="O32" s="494"/>
      <c r="P32" s="508"/>
      <c r="Q32" s="508"/>
      <c r="R32" s="508"/>
      <c r="S32" s="508"/>
      <c r="T32" s="508"/>
      <c r="U32" s="508"/>
      <c r="V32" s="508"/>
      <c r="W32" s="508"/>
      <c r="X32" s="508"/>
      <c r="Y32" s="494"/>
    </row>
    <row r="33" spans="1:25" ht="3.6" customHeight="1" x14ac:dyDescent="0.25">
      <c r="A33" s="411"/>
      <c r="B33" s="411"/>
      <c r="C33" s="411"/>
      <c r="D33" s="411"/>
      <c r="E33" s="411"/>
      <c r="F33" s="411"/>
      <c r="G33" s="411"/>
      <c r="H33" s="411"/>
      <c r="I33" s="411"/>
      <c r="J33" s="411"/>
      <c r="K33" s="411"/>
      <c r="L33" s="411"/>
      <c r="M33" s="411"/>
    </row>
    <row r="34" spans="1:25" s="441" customFormat="1" ht="17.100000000000001" customHeight="1" x14ac:dyDescent="0.25">
      <c r="A34" s="959" t="str">
        <f>IF(Wertebereich!B44=1,"",Übersetzungen!D384)</f>
        <v/>
      </c>
      <c r="B34" s="960"/>
      <c r="C34" s="960"/>
      <c r="D34" s="960"/>
      <c r="E34" s="960"/>
      <c r="F34" s="960"/>
      <c r="G34" s="960" t="str">
        <f>IF(Wertebereich!B44=6,Übersetzungen!D385,IF(Wertebereich!B44=1,"",VLOOKUP(Wertebereich!B44,Wertebereich!B46:C49,2)))</f>
        <v/>
      </c>
      <c r="H34" s="959"/>
      <c r="I34" s="959" t="str">
        <f>IF(Wertebereich!B44=1,"",IF(Wertebereich!B44=6,Übersetzungen!D386,Übersetzungen!D387))</f>
        <v/>
      </c>
      <c r="J34" s="959"/>
      <c r="K34" s="959"/>
      <c r="L34" s="959"/>
      <c r="M34" s="959"/>
      <c r="N34" s="958" t="str">
        <f>IF(Wertebereich!B44=1,"",IF(Wertebereich!B44=6,"TK2","TK1"))</f>
        <v/>
      </c>
      <c r="O34" s="495"/>
      <c r="P34" s="510"/>
      <c r="Q34" s="510"/>
      <c r="R34" s="510"/>
      <c r="S34" s="510"/>
      <c r="T34" s="510"/>
      <c r="U34" s="510"/>
      <c r="V34" s="510"/>
      <c r="W34" s="510"/>
      <c r="X34" s="510"/>
      <c r="Y34" s="495"/>
    </row>
    <row r="35" spans="1:25" ht="3.6" customHeight="1" x14ac:dyDescent="0.25">
      <c r="A35" s="411"/>
      <c r="B35" s="411"/>
      <c r="C35" s="411"/>
      <c r="D35" s="411"/>
      <c r="E35" s="411"/>
      <c r="F35" s="411"/>
      <c r="G35" s="411"/>
      <c r="H35" s="411"/>
      <c r="I35" s="411"/>
      <c r="J35" s="411"/>
      <c r="K35" s="411"/>
      <c r="L35" s="411"/>
      <c r="M35" s="411"/>
    </row>
    <row r="36" spans="1:25" s="412" customFormat="1" x14ac:dyDescent="0.25">
      <c r="A36" s="411" t="str">
        <f>IF(Wertebereich!B44=6,"",Übersetzungen!D388)</f>
        <v>Reglementarisches Todesfallkapital</v>
      </c>
      <c r="B36" s="413"/>
      <c r="C36" s="413"/>
      <c r="D36" s="413"/>
      <c r="E36" s="413"/>
      <c r="F36" s="413"/>
      <c r="G36" s="413"/>
      <c r="H36" s="411"/>
      <c r="I36" s="411" t="str">
        <f>IF(A36="","",Übersetzungen!D389)</f>
        <v>gemäss Ziffer 16 des Vorsorgereglements</v>
      </c>
      <c r="J36" s="411"/>
      <c r="K36" s="411"/>
      <c r="L36" s="411"/>
      <c r="M36" s="411"/>
      <c r="O36" s="494"/>
      <c r="P36" s="508"/>
      <c r="Q36" s="508"/>
      <c r="R36" s="508"/>
      <c r="S36" s="508"/>
      <c r="T36" s="508"/>
      <c r="U36" s="508"/>
      <c r="V36" s="508"/>
      <c r="W36" s="508"/>
      <c r="X36" s="508"/>
      <c r="Y36" s="494"/>
    </row>
    <row r="37" spans="1:25" s="412" customFormat="1" x14ac:dyDescent="0.25">
      <c r="A37" s="411" t="str">
        <f>IF(H29="*",CONCATENATE(Übersetzungen!D390,P37,"."),"")</f>
        <v/>
      </c>
      <c r="B37" s="413"/>
      <c r="C37" s="413"/>
      <c r="D37" s="413"/>
      <c r="E37" s="413"/>
      <c r="G37" s="417"/>
      <c r="H37" s="415"/>
      <c r="I37" s="411"/>
      <c r="J37" s="411"/>
      <c r="K37" s="411"/>
      <c r="L37" s="411"/>
      <c r="M37" s="411"/>
      <c r="O37" s="494"/>
      <c r="P37" s="512" t="str">
        <f>IF(G29=10%,"CHF 200'000",IF(G29=15%,"CHF 150'000",IF(OR(G29=20%,G29=25%),"CHF 100'000","")))</f>
        <v/>
      </c>
      <c r="Q37" s="512"/>
      <c r="R37" s="512"/>
      <c r="S37" s="512"/>
      <c r="T37" s="512"/>
      <c r="U37" s="508"/>
      <c r="V37" s="508"/>
      <c r="W37" s="508"/>
      <c r="X37" s="508"/>
      <c r="Y37" s="494"/>
    </row>
    <row r="38" spans="1:25" s="412" customFormat="1" ht="5.4" customHeight="1" x14ac:dyDescent="0.25">
      <c r="A38" s="411"/>
      <c r="B38" s="413"/>
      <c r="C38" s="413"/>
      <c r="D38" s="413"/>
      <c r="E38" s="413"/>
      <c r="F38" s="413"/>
      <c r="G38" s="418"/>
      <c r="H38" s="411"/>
      <c r="I38" s="411"/>
      <c r="J38" s="411"/>
      <c r="K38" s="411"/>
      <c r="L38" s="411"/>
      <c r="M38" s="411"/>
      <c r="O38" s="494"/>
      <c r="P38" s="508"/>
      <c r="Q38" s="508"/>
      <c r="R38" s="508"/>
      <c r="S38" s="508"/>
      <c r="T38" s="508"/>
      <c r="U38" s="508"/>
      <c r="V38" s="508"/>
      <c r="W38" s="508"/>
      <c r="X38" s="508"/>
      <c r="Y38" s="494"/>
    </row>
    <row r="39" spans="1:25" s="412" customFormat="1" x14ac:dyDescent="0.25">
      <c r="A39" s="1166" t="str">
        <f>Übersetzungen!D391</f>
        <v>Der Anspruch auf Kinderrenten besteht bis Alter 20 bzw. Alter 25, wenn das Kind in Ausbildung ist.</v>
      </c>
      <c r="B39" s="413"/>
      <c r="C39" s="413"/>
      <c r="D39" s="413"/>
      <c r="E39" s="413"/>
      <c r="F39" s="413"/>
      <c r="G39" s="418"/>
      <c r="H39" s="411"/>
      <c r="I39" s="411"/>
      <c r="J39" s="411"/>
      <c r="K39" s="411"/>
      <c r="L39" s="411"/>
      <c r="M39" s="411"/>
      <c r="O39" s="494"/>
      <c r="P39" s="508"/>
      <c r="Q39" s="508"/>
      <c r="R39" s="508"/>
      <c r="S39" s="508"/>
      <c r="T39" s="508"/>
      <c r="U39" s="508"/>
      <c r="V39" s="508"/>
      <c r="W39" s="508"/>
      <c r="X39" s="508"/>
      <c r="Y39" s="494"/>
    </row>
    <row r="40" spans="1:25" ht="7.5" customHeight="1" x14ac:dyDescent="0.25">
      <c r="A40" s="411"/>
      <c r="B40" s="411"/>
      <c r="C40" s="411"/>
      <c r="D40" s="411"/>
      <c r="E40" s="411"/>
      <c r="F40" s="411"/>
      <c r="G40" s="411"/>
      <c r="H40" s="411"/>
      <c r="I40" s="411"/>
      <c r="J40" s="411"/>
      <c r="K40" s="411"/>
      <c r="L40" s="411"/>
      <c r="M40" s="411"/>
    </row>
    <row r="41" spans="1:25" ht="27.75" customHeight="1" x14ac:dyDescent="0.25">
      <c r="A41" s="1399" t="str">
        <f>IF(Wertebereich!B25=3,"",IF(Wertebereich!B40=3,Übersetzungen!D392,IF(AND(Wertebereich!B40=1,Wertebereich!B58=1),Übersetzungen!D393,IF(AND(Wertebereich!B40=1,Wertebereich!B58&gt;1),Übersetzungen!D394,Übersetzungen!D395))))</f>
        <v xml:space="preserve">Die Wartefrist für die Invalidenrente beträgt 720 Tage. Es besteht eine Taggeldversicherung (Krankheit und Unfall) von 720 Tagen.  </v>
      </c>
      <c r="B41" s="1399"/>
      <c r="C41" s="1399"/>
      <c r="D41" s="1399"/>
      <c r="E41" s="1399"/>
      <c r="F41" s="1399"/>
      <c r="G41" s="1399"/>
      <c r="H41" s="1399"/>
      <c r="I41" s="1399"/>
      <c r="J41" s="1399"/>
      <c r="K41" s="1399"/>
      <c r="L41" s="1399"/>
      <c r="M41" s="1399"/>
      <c r="N41" s="1399"/>
    </row>
    <row r="42" spans="1:25" ht="30" customHeight="1" x14ac:dyDescent="0.25">
      <c r="A42" s="1388" t="str">
        <f>IF(OR(Wertebereich!$B$64=2,Wertebereich!C64=2), Übersetzungen!D397,Übersetzungen!D396)</f>
        <v>Bei Arbeitsunfähigkeit oder Invalidität werden die Altersgutschriften gemäss Plan gutgeschrieben. Die Wartefrist für die Beitragsbefreiung beträgt 6 Monate.</v>
      </c>
      <c r="B42" s="1394"/>
      <c r="C42" s="1394"/>
      <c r="D42" s="1394"/>
      <c r="E42" s="1394"/>
      <c r="F42" s="1394"/>
      <c r="G42" s="1394"/>
      <c r="H42" s="1394"/>
      <c r="I42" s="1394"/>
      <c r="J42" s="1394"/>
      <c r="K42" s="1394"/>
      <c r="L42" s="1394"/>
      <c r="M42" s="1394"/>
      <c r="N42" s="1394"/>
      <c r="P42" s="898"/>
    </row>
    <row r="43" spans="1:25" ht="12" customHeight="1" x14ac:dyDescent="0.25">
      <c r="A43" s="411"/>
    </row>
    <row r="44" spans="1:25" s="440" customFormat="1" ht="19.350000000000001" customHeight="1" x14ac:dyDescent="0.25">
      <c r="A44" s="954" t="str">
        <f>Übersetzungen!D398</f>
        <v>BEITRÄGE</v>
      </c>
      <c r="B44" s="955"/>
      <c r="C44" s="955"/>
      <c r="D44" s="955"/>
      <c r="E44" s="955"/>
      <c r="F44" s="955"/>
      <c r="G44" s="955"/>
      <c r="H44" s="955"/>
      <c r="I44" s="955"/>
      <c r="J44" s="955"/>
      <c r="K44" s="955"/>
      <c r="L44" s="955"/>
      <c r="M44" s="955"/>
      <c r="N44" s="955"/>
      <c r="O44" s="493"/>
      <c r="P44" s="510"/>
      <c r="Q44" s="510"/>
      <c r="R44" s="510"/>
      <c r="S44" s="510"/>
      <c r="T44" s="510"/>
      <c r="U44" s="510"/>
      <c r="V44" s="510"/>
      <c r="W44" s="510"/>
      <c r="X44" s="510"/>
      <c r="Y44" s="493"/>
    </row>
    <row r="45" spans="1:25" ht="3.6" customHeight="1" x14ac:dyDescent="0.25">
      <c r="A45" s="411"/>
      <c r="B45" s="411"/>
      <c r="C45" s="411"/>
      <c r="D45" s="411"/>
      <c r="E45" s="411"/>
      <c r="F45" s="411"/>
      <c r="G45" s="411"/>
      <c r="H45" s="411"/>
      <c r="I45" s="411"/>
      <c r="J45" s="411"/>
      <c r="K45" s="411"/>
      <c r="L45" s="411"/>
      <c r="M45" s="411"/>
    </row>
    <row r="46" spans="1:25" x14ac:dyDescent="0.25">
      <c r="A46" s="411" t="str">
        <f>Übersetzungen!D399</f>
        <v>Die Beiträge in Prozent des versicherten Lohnes betragen für Frauen und Männer:</v>
      </c>
      <c r="B46" s="411"/>
      <c r="C46" s="411"/>
      <c r="D46" s="411"/>
      <c r="E46" s="411"/>
      <c r="F46" s="411"/>
      <c r="G46" s="411"/>
      <c r="H46" s="411"/>
      <c r="I46" s="411"/>
      <c r="J46" s="411"/>
      <c r="K46" s="411"/>
      <c r="L46" s="411"/>
      <c r="M46" s="411"/>
      <c r="N46" s="411"/>
      <c r="P46" s="812">
        <f>Input!J32</f>
        <v>3</v>
      </c>
    </row>
    <row r="47" spans="1:25" ht="6.75" customHeight="1" x14ac:dyDescent="0.25">
      <c r="A47" s="419"/>
    </row>
    <row r="48" spans="1:25" s="421" customFormat="1" ht="27" customHeight="1" x14ac:dyDescent="0.2">
      <c r="A48" s="420" t="str">
        <f>Übersetzungen!D400</f>
        <v xml:space="preserve"> Alter</v>
      </c>
      <c r="B48" s="1395" t="str">
        <f>Übersetzungen!D401</f>
        <v>Sparbeitrag</v>
      </c>
      <c r="C48" s="1402"/>
      <c r="D48" s="1402"/>
      <c r="E48" s="1402"/>
      <c r="F48" s="1396"/>
      <c r="G48" s="1403" t="str">
        <f>IF(Input!F44&gt;0,Übersetzungen!D402,Übersetzungen!D403)</f>
        <v>Risikobeitrag</v>
      </c>
      <c r="H48" s="1396"/>
      <c r="I48" s="1395" t="str">
        <f>Übersetzungen!D404</f>
        <v>Total Beiträge*</v>
      </c>
      <c r="J48" s="1396"/>
      <c r="K48" s="1397" t="str">
        <f>Übersetzungen!D405</f>
        <v>Anteil
 Arbeitnehmer</v>
      </c>
      <c r="L48" s="1398"/>
      <c r="M48" s="1397" t="str">
        <f>Übersetzungen!D406</f>
        <v>Anteil
Arbeitgeber</v>
      </c>
      <c r="N48" s="1398"/>
      <c r="O48" s="496"/>
      <c r="P48" s="508">
        <v>1</v>
      </c>
      <c r="Q48" s="508">
        <v>2</v>
      </c>
      <c r="R48" s="508">
        <v>3</v>
      </c>
      <c r="S48" s="508">
        <v>4</v>
      </c>
      <c r="T48" s="508">
        <v>5</v>
      </c>
      <c r="U48" s="508">
        <v>6</v>
      </c>
      <c r="V48" s="508">
        <v>7</v>
      </c>
      <c r="W48" s="508">
        <v>8</v>
      </c>
      <c r="X48" s="508">
        <v>9</v>
      </c>
      <c r="Y48" s="496"/>
    </row>
    <row r="49" spans="1:25" s="421" customFormat="1" ht="16.5" customHeight="1" x14ac:dyDescent="0.25">
      <c r="A49" s="422"/>
      <c r="B49" s="423"/>
      <c r="C49" s="424" t="s">
        <v>1482</v>
      </c>
      <c r="D49" s="424" t="s">
        <v>1483</v>
      </c>
      <c r="E49" s="424" t="s">
        <v>1441</v>
      </c>
      <c r="F49" s="425"/>
      <c r="G49" s="423"/>
      <c r="H49" s="425"/>
      <c r="I49" s="423"/>
      <c r="J49" s="425"/>
      <c r="K49" s="1384">
        <f>100%-M49</f>
        <v>0.5</v>
      </c>
      <c r="L49" s="1392"/>
      <c r="M49" s="1384">
        <f>Input!J47</f>
        <v>0.5</v>
      </c>
      <c r="N49" s="1385"/>
      <c r="O49" s="496"/>
      <c r="P49" s="513" t="s">
        <v>721</v>
      </c>
      <c r="Q49" s="513" t="s">
        <v>1007</v>
      </c>
      <c r="R49" s="513" t="s">
        <v>1249</v>
      </c>
      <c r="S49" s="513" t="s">
        <v>1483</v>
      </c>
      <c r="T49" s="513" t="s">
        <v>978</v>
      </c>
      <c r="U49" s="513" t="s">
        <v>977</v>
      </c>
      <c r="V49" s="513" t="s">
        <v>1022</v>
      </c>
      <c r="W49" s="513" t="s">
        <v>722</v>
      </c>
      <c r="X49" s="513" t="s">
        <v>723</v>
      </c>
      <c r="Y49" s="496"/>
    </row>
    <row r="50" spans="1:25" s="412" customFormat="1" ht="14.25" customHeight="1" x14ac:dyDescent="0.25">
      <c r="A50" s="813" t="s">
        <v>1262</v>
      </c>
      <c r="B50" s="814">
        <f>IF(Input!J32=1,B52,0)</f>
        <v>0</v>
      </c>
      <c r="C50" s="815">
        <f>IF(Wertebereich!B$25=3,0,IF(AND(Wertebereich!$B$25=2,Wertebereich!$B$40=1),Wertebereich!$F13*G$29*10,IF(AND(Wertebereich!$B$25=1,Wertebereich!$B$40=1),Wertebereich!$E13,IF(AND(Wertebereich!$B$25=1,Wertebereich!$B$40=2),Wertebereich!$G13,Wertebereich!$H13*G$29*10))))</f>
        <v>0.40000000000000008</v>
      </c>
      <c r="D50" s="815">
        <f>IF(Wertebereich!B$25=3,0,IF(Wertebereich!$B$64=1,Wertebereich!$E33,HLOOKUP(Wertebereich!$B$9,Wertebereich!$E$32:$I$38,2)+HLOOKUP(Wertebereich!$B$20,Wertebereich!$N$32:$P$38,2)))</f>
        <v>0.08</v>
      </c>
      <c r="E50" s="815">
        <f>IF(Wertebereich!B$25=3,0,ROUND(IF(Wertebereich!$B$44=1,0,IF(Wertebereich!$B$44=6,7.5%*(C51+D51),Wertebereich!I13*G$34/2)),2))</f>
        <v>0</v>
      </c>
      <c r="F50" s="816">
        <f>IF(Wertebereich!$B$44=6,ROUND(C51/2,2)*2+D51+(E51*2),ROUND(C51/2,2)*2+D51+2*E51)</f>
        <v>0.48000000000000004</v>
      </c>
      <c r="G50" s="817">
        <f>IF(B50/96*100-B50&lt;F50,F50,ROUND((B50/96*100-B50)/2,2)*2)</f>
        <v>0.48000000000000004</v>
      </c>
      <c r="H50" s="818"/>
      <c r="I50" s="819">
        <f>IF(E50=99,"",B50+ROUND(G50/2,2)*2)</f>
        <v>0.48</v>
      </c>
      <c r="J50" s="820"/>
      <c r="K50" s="821">
        <f>I50-M50</f>
        <v>0.24</v>
      </c>
      <c r="L50" s="822"/>
      <c r="M50" s="821">
        <f>ROUNDUP(M$49*I50,2)</f>
        <v>0.24</v>
      </c>
      <c r="N50" s="823"/>
      <c r="O50" s="494"/>
      <c r="P50" s="508">
        <v>0</v>
      </c>
      <c r="Q50" s="514">
        <f>INT(B50*100)/100</f>
        <v>0</v>
      </c>
      <c r="R50" s="514">
        <f>INT(C50*100)/100</f>
        <v>0.4</v>
      </c>
      <c r="S50" s="514">
        <f>INT(D50*100)/100</f>
        <v>0.08</v>
      </c>
      <c r="T50" s="514">
        <f>U50-R50-S50</f>
        <v>0</v>
      </c>
      <c r="U50" s="514">
        <f>INT(G50*100)/100</f>
        <v>0.48</v>
      </c>
      <c r="V50" s="514">
        <f>INT(I50*100)/100</f>
        <v>0.48</v>
      </c>
      <c r="W50" s="514">
        <f>INT(K50*100)/100</f>
        <v>0.24</v>
      </c>
      <c r="X50" s="514">
        <f>INT(M50*100)/100</f>
        <v>0.24</v>
      </c>
      <c r="Y50" s="494"/>
    </row>
    <row r="51" spans="1:25" s="412" customFormat="1" ht="14.25" customHeight="1" x14ac:dyDescent="0.25">
      <c r="A51" s="426" t="str">
        <f>IF(P46=2,"20 - 24","18 - 24")</f>
        <v>18 - 24</v>
      </c>
      <c r="B51" s="481">
        <f>IF(Input!J32=3,0,B52)</f>
        <v>0</v>
      </c>
      <c r="C51" s="427">
        <f>IF(Wertebereich!B$25=3,0,IF(AND(Wertebereich!$B$25=2,Wertebereich!$B$40=1),Wertebereich!$F13*G$29*10,IF(AND(Wertebereich!$B$25=1,Wertebereich!$B$40=1),Wertebereich!$E13,IF(AND(Wertebereich!$B$25=1,Wertebereich!$B$40=2),Wertebereich!$G13,Wertebereich!$H13*G$29*10))))</f>
        <v>0.40000000000000008</v>
      </c>
      <c r="D51" s="427">
        <f>IF(Wertebereich!B$25=3,0,IF(Wertebereich!$B$64=2,Wertebereich!$E33,HLOOKUP(Wertebereich!$B$9,Wertebereich!$E$32:$M$38,2)+HLOOKUP(Wertebereich!$B$20,Wertebereich!$N$32:$P$38,2)))</f>
        <v>0.08</v>
      </c>
      <c r="E51" s="427">
        <f>IF(Wertebereich!B$25=3,0,ROUND(IF(Wertebereich!$B$44=1,0,IF(Wertebereich!$B$44=6,7.5%*(C51+D51),Wertebereich!I13*G$34/2)),2))</f>
        <v>0</v>
      </c>
      <c r="F51" s="470">
        <f>IF(Wertebereich!$B$44=6,ROUND(C51/2,2)*2+D51+(E51*2),ROUND(C51/2,2)*2+D51+2*E51)</f>
        <v>0.48000000000000004</v>
      </c>
      <c r="G51" s="429">
        <f>IF(B51/96*100-B51&lt;F51,F51,ROUND((B51/96*100-B51)/2,2)*2)</f>
        <v>0.48000000000000004</v>
      </c>
      <c r="H51" s="428"/>
      <c r="I51" s="430">
        <f t="shared" ref="I51:I56" si="0">IF(E51=99,"",B51+ROUND(G51/2,2)*2)</f>
        <v>0.48</v>
      </c>
      <c r="J51" s="431"/>
      <c r="K51" s="432">
        <f t="shared" ref="K51:K56" si="1">I51-M51</f>
        <v>0.24</v>
      </c>
      <c r="L51" s="433"/>
      <c r="M51" s="432">
        <f t="shared" ref="M51:M56" si="2">ROUNDUP(M$49*I51,2)</f>
        <v>0.24</v>
      </c>
      <c r="N51" s="434"/>
      <c r="O51" s="494"/>
      <c r="P51" s="508">
        <v>1</v>
      </c>
      <c r="Q51" s="514">
        <f t="shared" ref="Q51:Q56" si="3">INT(B51*100)/100</f>
        <v>0</v>
      </c>
      <c r="R51" s="514">
        <f t="shared" ref="R51:S56" si="4">INT(C51*100)/100</f>
        <v>0.4</v>
      </c>
      <c r="S51" s="514">
        <f t="shared" si="4"/>
        <v>0.08</v>
      </c>
      <c r="T51" s="514">
        <f t="shared" ref="T51:T56" si="5">U51-R51-S51</f>
        <v>0</v>
      </c>
      <c r="U51" s="514">
        <f t="shared" ref="U51:U56" si="6">INT(G51*100)/100</f>
        <v>0.48</v>
      </c>
      <c r="V51" s="514">
        <f t="shared" ref="V51:V56" si="7">INT(I51*100)/100</f>
        <v>0.48</v>
      </c>
      <c r="W51" s="514">
        <f t="shared" ref="W51:W56" si="8">INT(K51*100)/100</f>
        <v>0.24</v>
      </c>
      <c r="X51" s="514">
        <f t="shared" ref="X51:X56" si="9">INT(M51*100)/100</f>
        <v>0.24</v>
      </c>
      <c r="Y51" s="494"/>
    </row>
    <row r="52" spans="1:25" s="412" customFormat="1" x14ac:dyDescent="0.25">
      <c r="A52" s="426" t="s">
        <v>1484</v>
      </c>
      <c r="B52" s="480">
        <f>HLOOKUP(Wertebereich!$B$9,Wertebereich!$E$3:$M$8,2)+HLOOKUP(Wertebereich!$B$20,Wertebereich!$E$23:$G$28,2)</f>
        <v>7</v>
      </c>
      <c r="C52" s="427">
        <f>IF(Wertebereich!B$25=3,0,IF(AND(Wertebereich!$B$25=2,Wertebereich!$B$40=1),Wertebereich!$F14*G$29*10,IF(AND(Wertebereich!$B$25=1,Wertebereich!$B$40=1),Wertebereich!$E14,IF(AND(Wertebereich!$B$25=1,Wertebereich!$B$40=2),Wertebereich!$G14,Wertebereich!$H14*G$29*10))))</f>
        <v>0.64</v>
      </c>
      <c r="D52" s="427">
        <f>IF(Wertebereich!B$25=3,0,IF(Wertebereich!$B$64=2,Wertebereich!$E34,HLOOKUP(Wertebereich!$B$9,Wertebereich!$E$32:$M$38,3)+HLOOKUP(Wertebereich!$B$20,Wertebereich!$N$32:$P$38,3)))</f>
        <v>0.18</v>
      </c>
      <c r="E52" s="427">
        <f>IF(Wertebereich!B$25=3,0,ROUND(IF(Wertebereich!$B$44=1,0,IF(Wertebereich!$B$44=6,7.5%*(C52+D52),Wertebereich!I14*G$34/2)),2))</f>
        <v>0</v>
      </c>
      <c r="F52" s="470">
        <f>IF(Wertebereich!$B$44=6,ROUND(C52/2,2)*2+D52+(E52*2),ROUND(C52/2,2)*2+D52+2*E52)</f>
        <v>0.82000000000000006</v>
      </c>
      <c r="G52" s="429">
        <f>IF(F52=0,0,IF(B52/96*100-B52&lt;F52,F52,ROUND((B52/96*100-B52)/2,2)*2))</f>
        <v>0.82000000000000006</v>
      </c>
      <c r="H52" s="428"/>
      <c r="I52" s="430">
        <f t="shared" si="0"/>
        <v>7.82</v>
      </c>
      <c r="J52" s="431"/>
      <c r="K52" s="432">
        <f t="shared" si="1"/>
        <v>3.91</v>
      </c>
      <c r="L52" s="433"/>
      <c r="M52" s="432">
        <f t="shared" si="2"/>
        <v>3.91</v>
      </c>
      <c r="N52" s="435"/>
      <c r="O52" s="494"/>
      <c r="P52" s="508">
        <v>2</v>
      </c>
      <c r="Q52" s="514">
        <f t="shared" si="3"/>
        <v>7</v>
      </c>
      <c r="R52" s="514">
        <f t="shared" si="4"/>
        <v>0.64</v>
      </c>
      <c r="S52" s="514">
        <f t="shared" si="4"/>
        <v>0.18</v>
      </c>
      <c r="T52" s="514">
        <f t="shared" si="5"/>
        <v>0</v>
      </c>
      <c r="U52" s="514">
        <f t="shared" si="6"/>
        <v>0.82</v>
      </c>
      <c r="V52" s="514">
        <f t="shared" si="7"/>
        <v>7.82</v>
      </c>
      <c r="W52" s="514">
        <f t="shared" si="8"/>
        <v>3.91</v>
      </c>
      <c r="X52" s="514">
        <f t="shared" si="9"/>
        <v>3.91</v>
      </c>
      <c r="Y52" s="494"/>
    </row>
    <row r="53" spans="1:25" s="412" customFormat="1" x14ac:dyDescent="0.25">
      <c r="A53" s="426" t="s">
        <v>1485</v>
      </c>
      <c r="B53" s="480">
        <f>HLOOKUP(Wertebereich!$B$9,Wertebereich!$E$3:$M$8,3)+HLOOKUP(Wertebereich!$B$20,Wertebereich!$E$23:$G$28,3)</f>
        <v>10</v>
      </c>
      <c r="C53" s="427">
        <f>IF(Wertebereich!B$25=3,0,IF(AND(Wertebereich!$B$25=2,Wertebereich!$B$40=1),Wertebereich!$F15*G$29*10,IF(AND(Wertebereich!$B$25=1,Wertebereich!$B$40=1),Wertebereich!$E15,IF(AND(Wertebereich!$B$25=1,Wertebereich!$B$40=2),Wertebereich!$G15,Wertebereich!$H15*G$29*10))))</f>
        <v>0.80000000000000016</v>
      </c>
      <c r="D53" s="427">
        <f>IF(Wertebereich!B$25=3,0,IF(Wertebereich!$B$64=2,Wertebereich!$E35,HLOOKUP(Wertebereich!$B$9,Wertebereich!$E$32:$M$38,4)+HLOOKUP(Wertebereich!$B$20,Wertebereich!$N$32:$P$38,4)))</f>
        <v>0.26</v>
      </c>
      <c r="E53" s="427">
        <f>IF(Wertebereich!B$25=3,0,ROUND(IF(Wertebereich!$B$44=1,0,IF(Wertebereich!$B$44=6,7.5%*(C53+D53),Wertebereich!I15*G$34/2)),2))</f>
        <v>0</v>
      </c>
      <c r="F53" s="470">
        <f>IF(Wertebereich!$B$44=6,ROUND(C53/2,2)*2+D53+(E53*2),ROUND(C53/2,2)*2+D53+2*E53)</f>
        <v>1.06</v>
      </c>
      <c r="G53" s="429">
        <f>IF(F53=0,0,IF(B53/96*100-B53&lt;F53,F53,ROUND((B53/96*100-B53)/2,2)*2))</f>
        <v>1.06</v>
      </c>
      <c r="H53" s="428"/>
      <c r="I53" s="430">
        <f t="shared" si="0"/>
        <v>11.06</v>
      </c>
      <c r="J53" s="431"/>
      <c r="K53" s="432">
        <f t="shared" si="1"/>
        <v>5.53</v>
      </c>
      <c r="L53" s="433"/>
      <c r="M53" s="432">
        <f t="shared" si="2"/>
        <v>5.53</v>
      </c>
      <c r="N53" s="435" t="str">
        <f>IF(B53="SIEHE SHEET2","PLANBESCHRIEB NR. 3 VERWENDEN!","")</f>
        <v/>
      </c>
      <c r="O53" s="494"/>
      <c r="P53" s="508">
        <v>3</v>
      </c>
      <c r="Q53" s="514">
        <f t="shared" si="3"/>
        <v>10</v>
      </c>
      <c r="R53" s="514">
        <f t="shared" si="4"/>
        <v>0.8</v>
      </c>
      <c r="S53" s="514">
        <f t="shared" si="4"/>
        <v>0.26</v>
      </c>
      <c r="T53" s="514">
        <f t="shared" si="5"/>
        <v>0</v>
      </c>
      <c r="U53" s="514">
        <f t="shared" si="6"/>
        <v>1.06</v>
      </c>
      <c r="V53" s="514">
        <f t="shared" si="7"/>
        <v>11.06</v>
      </c>
      <c r="W53" s="514">
        <f t="shared" si="8"/>
        <v>5.53</v>
      </c>
      <c r="X53" s="514">
        <f t="shared" si="9"/>
        <v>5.53</v>
      </c>
      <c r="Y53" s="494"/>
    </row>
    <row r="54" spans="1:25" s="412" customFormat="1" x14ac:dyDescent="0.25">
      <c r="A54" s="426" t="s">
        <v>1486</v>
      </c>
      <c r="B54" s="480">
        <f>HLOOKUP(Wertebereich!$B$9,Wertebereich!$E$3:$M$8,4)+HLOOKUP(Wertebereich!$B$20,Wertebereich!$E$23:$G$28,4)</f>
        <v>15</v>
      </c>
      <c r="C54" s="427">
        <f>IF(Wertebereich!B$25=3,0,IF(AND(Wertebereich!$B$25=2,Wertebereich!$B$40=1),ROUND(Wertebereich!$F16*G$29*10,2),IF(AND(Wertebereich!$B$25=1,Wertebereich!$B$40=1),Wertebereich!$E16,IF(AND(Wertebereich!$B$25=1,Wertebereich!$B$40=2),Wertebereich!$G16,Wertebereich!$H16*G$29*10))))</f>
        <v>1.04</v>
      </c>
      <c r="D54" s="427">
        <f>IF(Wertebereich!B$25=3,0,IF(Wertebereich!$B$64=2,Wertebereich!$E36,HLOOKUP(Wertebereich!$B$9,Wertebereich!$E$32:$M$38,5)+HLOOKUP(Wertebereich!$B$20,Wertebereich!$N$32:$P$38,5)))</f>
        <v>0.38</v>
      </c>
      <c r="E54" s="427">
        <f>IF(Wertebereich!B$25=3,0,ROUND(IF(Wertebereich!$B$44=1,0,IF(Wertebereich!$B$44=6,7.5%*(C54+D54),Wertebereich!I16*G$34/2)),2))</f>
        <v>0</v>
      </c>
      <c r="F54" s="470">
        <f>IF(Wertebereich!$B$44=6,ROUND(C54/2,2)*2+D54+(E54*2),ROUND(C54/2,2)*2+D54+2*E54)</f>
        <v>1.42</v>
      </c>
      <c r="G54" s="429">
        <f>IF(F54=0,0,IF(B54/96*100-B54&lt;F54,F54,ROUND((B54/96*100-B54)/2,2)*2))</f>
        <v>1.42</v>
      </c>
      <c r="H54" s="428"/>
      <c r="I54" s="430">
        <f t="shared" si="0"/>
        <v>16.420000000000002</v>
      </c>
      <c r="J54" s="431"/>
      <c r="K54" s="432">
        <f t="shared" si="1"/>
        <v>8.2100000000000009</v>
      </c>
      <c r="L54" s="433"/>
      <c r="M54" s="432">
        <f t="shared" si="2"/>
        <v>8.2100000000000009</v>
      </c>
      <c r="N54" s="434"/>
      <c r="O54" s="494"/>
      <c r="P54" s="508">
        <v>4</v>
      </c>
      <c r="Q54" s="514">
        <f t="shared" si="3"/>
        <v>15</v>
      </c>
      <c r="R54" s="514">
        <f t="shared" si="4"/>
        <v>1.04</v>
      </c>
      <c r="S54" s="514">
        <f t="shared" si="4"/>
        <v>0.38</v>
      </c>
      <c r="T54" s="514">
        <f t="shared" si="5"/>
        <v>0</v>
      </c>
      <c r="U54" s="514">
        <f t="shared" si="6"/>
        <v>1.42</v>
      </c>
      <c r="V54" s="514">
        <f t="shared" si="7"/>
        <v>16.420000000000002</v>
      </c>
      <c r="W54" s="514">
        <f t="shared" si="8"/>
        <v>8.2100000000000009</v>
      </c>
      <c r="X54" s="514">
        <f t="shared" si="9"/>
        <v>8.2100000000000009</v>
      </c>
      <c r="Y54" s="494"/>
    </row>
    <row r="55" spans="1:25" s="412" customFormat="1" x14ac:dyDescent="0.25">
      <c r="A55" s="426" t="s">
        <v>264</v>
      </c>
      <c r="B55" s="480">
        <f>HLOOKUP(Wertebereich!$B$9,Wertebereich!$E$3:$M$8,5)+HLOOKUP(Wertebereich!$B$20,Wertebereich!$E$23:$G$28,5)</f>
        <v>18</v>
      </c>
      <c r="C55" s="427">
        <f>IF(Wertebereich!B$25=3,0,IF(AND(Wertebereich!$B$25=2,Wertebereich!$B$40=1),ROUND(Wertebereich!$F17*G$29*10/2,2)*2,IF(AND(Wertebereich!$B$25=1,Wertebereich!$B$40=1),Wertebereich!$E17,IF(AND(Wertebereich!$B$25=1,Wertebereich!$B$40=2),Wertebereich!$G17,Wertebereich!$H17*G$29*10))))</f>
        <v>0.72</v>
      </c>
      <c r="D55" s="427">
        <f>IF(Wertebereich!B$25=3,0,IF(Wertebereich!$B$64=2,Wertebereich!$E37,HLOOKUP(Wertebereich!$B$9,Wertebereich!$E$32:$M$38,6)+HLOOKUP(Wertebereich!$B$20,Wertebereich!$N$32:$P$38,6)))</f>
        <v>0.62</v>
      </c>
      <c r="E55" s="427">
        <f>IF(Wertebereich!B$25=3,0,ROUND(IF(Wertebereich!$B$44=1,0,IF(Wertebereich!$B$44=6,7.5%*(C55+D55),Wertebereich!I17*G$34/2)),2))</f>
        <v>0</v>
      </c>
      <c r="F55" s="470">
        <f>IF(Wertebereich!$B$44=6,ROUND(C55/2,2)*2+D55+(E55*2),ROUND(C55/2,2)*2+D55+2*E55)</f>
        <v>1.3399999999999999</v>
      </c>
      <c r="G55" s="429">
        <f>IF(F55=0,0,IF(B55/96*100-B55&lt;F55,F55,ROUND((B55/96*100-B55)/2,2)*2))</f>
        <v>1.3399999999999999</v>
      </c>
      <c r="H55" s="428"/>
      <c r="I55" s="430">
        <f t="shared" si="0"/>
        <v>19.34</v>
      </c>
      <c r="J55" s="431"/>
      <c r="K55" s="432">
        <f t="shared" si="1"/>
        <v>9.67</v>
      </c>
      <c r="L55" s="433"/>
      <c r="M55" s="432">
        <f t="shared" si="2"/>
        <v>9.67</v>
      </c>
      <c r="N55" s="434"/>
      <c r="O55" s="494"/>
      <c r="P55" s="508">
        <v>5</v>
      </c>
      <c r="Q55" s="514">
        <f t="shared" si="3"/>
        <v>18</v>
      </c>
      <c r="R55" s="514">
        <f t="shared" si="4"/>
        <v>0.72</v>
      </c>
      <c r="S55" s="514">
        <f t="shared" si="4"/>
        <v>0.62</v>
      </c>
      <c r="T55" s="514">
        <f t="shared" si="5"/>
        <v>0</v>
      </c>
      <c r="U55" s="514">
        <f t="shared" si="6"/>
        <v>1.34</v>
      </c>
      <c r="V55" s="514">
        <f t="shared" si="7"/>
        <v>19.34</v>
      </c>
      <c r="W55" s="514">
        <f t="shared" si="8"/>
        <v>9.67</v>
      </c>
      <c r="X55" s="514">
        <f t="shared" si="9"/>
        <v>9.67</v>
      </c>
      <c r="Y55" s="494"/>
    </row>
    <row r="56" spans="1:25" s="412" customFormat="1" x14ac:dyDescent="0.25">
      <c r="A56" s="426" t="s">
        <v>265</v>
      </c>
      <c r="B56" s="480">
        <f>HLOOKUP(Wertebereich!$B$9,Wertebereich!$E$3:$M$8,6)+HLOOKUP(Wertebereich!$B$20,Wertebereich!$E$23:$G$28,6)</f>
        <v>18</v>
      </c>
      <c r="C56" s="427">
        <f>IF(Wertebereich!B$25=3,0,IF(AND(Wertebereich!$B$25=2,Wertebereich!$B$40=1),Wertebereich!$F18*G$29*10,IF(AND(Wertebereich!$B$25=1,Wertebereich!$B$40=1),Wertebereich!$E18,IF(AND(Wertebereich!$B$25=1,Wertebereich!$B$40=2),Wertebereich!$G18,Wertebereich!$H18*G$29*10))))</f>
        <v>0</v>
      </c>
      <c r="D56" s="427">
        <f>IF(Wertebereich!B$25=3,0,IF(Wertebereich!$B$64=2,Wertebereich!$E38,HLOOKUP(Wertebereich!$B$9,Wertebereich!$E$32:$M$38,7)+HLOOKUP(Wertebereich!$B$20,Wertebereich!$N$32:$P$38,7)))</f>
        <v>0</v>
      </c>
      <c r="E56" s="427">
        <f>IF(Wertebereich!B$25=3,0,ROUND(IF(Wertebereich!$B$44=1,0,IF(Wertebereich!$B$44=6,7.5%*(C56+D56),Wertebereich!I18*G$34/2)),2))</f>
        <v>0</v>
      </c>
      <c r="F56" s="470">
        <f>IF(Wertebereich!$B$44=6,ROUND(C56/2,2)*2+D56+(E56*2),ROUND(C56/2,2)*2+D56+2*E56)</f>
        <v>0</v>
      </c>
      <c r="G56" s="429">
        <f>IF(Wertebereich!$B$44=6,ROUND(C56/2,2)*2+D56+(E56*2),ROUND(C56/2,2)*2+D56+E56)</f>
        <v>0</v>
      </c>
      <c r="H56" s="428"/>
      <c r="I56" s="430">
        <f t="shared" si="0"/>
        <v>18</v>
      </c>
      <c r="J56" s="431"/>
      <c r="K56" s="432">
        <f t="shared" si="1"/>
        <v>9</v>
      </c>
      <c r="L56" s="433"/>
      <c r="M56" s="432">
        <f t="shared" si="2"/>
        <v>9</v>
      </c>
      <c r="N56" s="434"/>
      <c r="O56" s="494"/>
      <c r="P56" s="508">
        <v>6</v>
      </c>
      <c r="Q56" s="514">
        <f t="shared" si="3"/>
        <v>18</v>
      </c>
      <c r="R56" s="514">
        <f t="shared" si="4"/>
        <v>0</v>
      </c>
      <c r="S56" s="514">
        <f t="shared" si="4"/>
        <v>0</v>
      </c>
      <c r="T56" s="514">
        <f t="shared" si="5"/>
        <v>0</v>
      </c>
      <c r="U56" s="514">
        <f t="shared" si="6"/>
        <v>0</v>
      </c>
      <c r="V56" s="514">
        <f t="shared" si="7"/>
        <v>18</v>
      </c>
      <c r="W56" s="514">
        <f t="shared" si="8"/>
        <v>9</v>
      </c>
      <c r="X56" s="514">
        <f t="shared" si="9"/>
        <v>9</v>
      </c>
      <c r="Y56" s="494"/>
    </row>
    <row r="57" spans="1:25" ht="16.5" customHeight="1" x14ac:dyDescent="0.25">
      <c r="A57" s="1389" t="str">
        <f>Übersetzungen!D407</f>
        <v>* Zusätzlich wird eine Verwaltungskostenpauschale von total CHF 192 erhoben.</v>
      </c>
      <c r="B57" s="1390"/>
      <c r="C57" s="1390"/>
      <c r="D57" s="1390"/>
      <c r="E57" s="1390"/>
      <c r="F57" s="1390"/>
      <c r="G57" s="1390"/>
      <c r="H57" s="1390"/>
      <c r="I57" s="1390"/>
      <c r="J57" s="1390"/>
      <c r="K57" s="1390"/>
      <c r="L57" s="1390"/>
      <c r="M57" s="1390"/>
      <c r="Q57" s="514"/>
      <c r="R57" s="514"/>
      <c r="S57" s="514"/>
      <c r="T57" s="514"/>
    </row>
    <row r="58" spans="1:25" ht="12.75" customHeight="1" x14ac:dyDescent="0.25">
      <c r="A58" s="1391" t="str">
        <f>IF(Input!F44&gt;0,Übersetzungen!D408,"")</f>
        <v/>
      </c>
      <c r="B58" s="1391"/>
      <c r="C58" s="1391"/>
      <c r="D58" s="1391"/>
      <c r="E58" s="1391"/>
      <c r="F58" s="1391"/>
      <c r="G58" s="1391"/>
      <c r="H58" s="1391"/>
      <c r="I58" s="1391"/>
      <c r="J58" s="1391"/>
      <c r="K58" s="1391"/>
      <c r="L58" s="1391"/>
      <c r="M58" s="1391"/>
      <c r="N58" s="1391"/>
      <c r="Q58" s="514"/>
      <c r="R58" s="514"/>
      <c r="S58" s="514"/>
      <c r="T58" s="514"/>
    </row>
    <row r="59" spans="1:25" ht="8.25" customHeight="1" x14ac:dyDescent="0.25">
      <c r="A59" s="581"/>
      <c r="B59" s="582"/>
      <c r="C59" s="582"/>
      <c r="D59" s="582"/>
      <c r="E59" s="582"/>
      <c r="F59" s="582"/>
      <c r="G59" s="582"/>
      <c r="H59" s="582"/>
      <c r="I59" s="582"/>
      <c r="J59" s="582"/>
      <c r="K59" s="582"/>
      <c r="L59" s="582"/>
      <c r="M59" s="582"/>
      <c r="Q59" s="514"/>
      <c r="R59" s="514"/>
      <c r="S59" s="514"/>
      <c r="T59" s="514"/>
    </row>
    <row r="60" spans="1:25" s="584" customFormat="1" ht="12.75" customHeight="1" x14ac:dyDescent="0.25">
      <c r="A60" s="588" t="str">
        <f ca="1">'Ausweis-Certificat'!A60</f>
        <v>Erstellt am 17.5.2023.</v>
      </c>
      <c r="O60" s="585"/>
      <c r="P60" s="586"/>
      <c r="Q60" s="586"/>
      <c r="R60" s="586"/>
      <c r="S60" s="586"/>
      <c r="T60" s="586"/>
      <c r="U60" s="586"/>
      <c r="V60" s="586"/>
      <c r="W60" s="586"/>
      <c r="X60" s="586"/>
      <c r="Y60" s="585"/>
    </row>
    <row r="61" spans="1:25" s="584" customFormat="1" ht="12.75" customHeight="1" x14ac:dyDescent="0.15">
      <c r="A61" s="588" t="str">
        <f>'Ausweis-Certificat'!A61</f>
        <v/>
      </c>
      <c r="B61" s="589"/>
      <c r="C61" s="589"/>
      <c r="D61" s="589"/>
      <c r="E61" s="589"/>
      <c r="F61" s="589"/>
      <c r="G61" s="589"/>
      <c r="K61" s="587"/>
      <c r="L61" s="587"/>
      <c r="N61" s="917" t="str">
        <f ca="1">'Ausweis-Certificat'!J61</f>
        <v>17.5.23 / Tool 2024 (V 30.04.2023)</v>
      </c>
      <c r="O61" s="585"/>
      <c r="P61" s="586"/>
      <c r="Q61" s="586"/>
      <c r="R61" s="586"/>
      <c r="S61" s="586"/>
      <c r="T61" s="586"/>
      <c r="U61" s="586"/>
      <c r="V61" s="586"/>
      <c r="W61" s="586"/>
      <c r="X61" s="586"/>
      <c r="Y61" s="585"/>
    </row>
    <row r="62" spans="1:25" ht="6.75" customHeight="1" x14ac:dyDescent="0.25"/>
  </sheetData>
  <sheetProtection algorithmName="SHA-512" hashValue="8RRj1lC39AbRBWZvbd1o7H4/E7ygKyW06o6bf8vfWWMm9JAic8wHeBw4UB+5+gK3lQJH2h8PyXwCAsfJMXDLqQ==" saltValue="G7fjHS5eoLlHHjY/R+qzPQ==" spinCount="100000" sheet="1" objects="1" scenarios="1" selectLockedCells="1" selectUnlockedCells="1"/>
  <mergeCells count="18">
    <mergeCell ref="I2:N2"/>
    <mergeCell ref="A42:N42"/>
    <mergeCell ref="I48:J48"/>
    <mergeCell ref="K48:L48"/>
    <mergeCell ref="M48:N48"/>
    <mergeCell ref="A41:N41"/>
    <mergeCell ref="A23:N23"/>
    <mergeCell ref="A15:N15"/>
    <mergeCell ref="A6:N6"/>
    <mergeCell ref="B48:F48"/>
    <mergeCell ref="G48:H48"/>
    <mergeCell ref="A16:N16"/>
    <mergeCell ref="M49:N49"/>
    <mergeCell ref="A17:N17"/>
    <mergeCell ref="A19:N19"/>
    <mergeCell ref="A57:M57"/>
    <mergeCell ref="A58:N58"/>
    <mergeCell ref="K49:L49"/>
  </mergeCells>
  <phoneticPr fontId="8" type="noConversion"/>
  <conditionalFormatting sqref="A6:N6">
    <cfRule type="cellIs" dxfId="16" priority="1" stopIfTrue="1" operator="notEqual">
      <formula>""</formula>
    </cfRule>
  </conditionalFormatting>
  <conditionalFormatting sqref="A50:N50">
    <cfRule type="expression" dxfId="15" priority="2" stopIfTrue="1">
      <formula>$P$46=2</formula>
    </cfRule>
  </conditionalFormatting>
  <pageMargins left="0.59055118110236227" right="0.59055118110236227" top="0.39370078740157483" bottom="0.19685039370078741" header="0.39370078740157483" footer="0.51181102362204722"/>
  <pageSetup paperSize="9" scale="83" orientation="portrait" r:id="rId1"/>
  <customProperties>
    <customPr name="SSCSheetTrackingNo"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76"/>
  <sheetViews>
    <sheetView showGridLines="0" zoomScale="150" zoomScaleNormal="150" workbookViewId="0">
      <selection activeCell="G17" sqref="G17"/>
    </sheetView>
  </sheetViews>
  <sheetFormatPr baseColWidth="10" defaultColWidth="11.44140625" defaultRowHeight="13.2" x14ac:dyDescent="0.25"/>
  <cols>
    <col min="1" max="1" width="4.88671875" style="994" customWidth="1"/>
    <col min="2" max="2" width="23.109375" style="995" customWidth="1"/>
    <col min="3" max="3" width="15.109375" style="995" customWidth="1"/>
    <col min="4" max="4" width="14.44140625" style="995" customWidth="1"/>
    <col min="5" max="5" width="3.5546875" style="995" customWidth="1"/>
    <col min="6" max="6" width="3" style="995" customWidth="1"/>
    <col min="7" max="7" width="13.44140625" style="996" customWidth="1"/>
    <col min="8" max="8" width="1.44140625" style="995" customWidth="1"/>
    <col min="9" max="9" width="2.44140625" style="995" customWidth="1"/>
    <col min="10" max="10" width="12.88671875" style="996" customWidth="1"/>
    <col min="11" max="11" width="4.44140625" style="1113" hidden="1" customWidth="1"/>
    <col min="12" max="12" width="3.44140625" style="998" hidden="1" customWidth="1"/>
    <col min="13" max="13" width="7.5546875" style="998" hidden="1" customWidth="1"/>
    <col min="14" max="14" width="6.44140625" style="998" hidden="1" customWidth="1"/>
    <col min="15" max="15" width="3.44140625" style="998" hidden="1" customWidth="1"/>
    <col min="16" max="16" width="7" style="998" hidden="1" customWidth="1"/>
    <col min="17" max="19" width="8.5546875" style="1001" hidden="1" customWidth="1"/>
    <col min="20" max="41" width="0" style="995" hidden="1" customWidth="1"/>
    <col min="42" max="16384" width="11.44140625" style="995"/>
  </cols>
  <sheetData>
    <row r="1" spans="1:19" ht="12.6" x14ac:dyDescent="0.25">
      <c r="K1" s="997"/>
      <c r="Q1" s="999"/>
      <c r="R1" s="1000"/>
      <c r="S1" s="1000"/>
    </row>
    <row r="2" spans="1:19" x14ac:dyDescent="0.25">
      <c r="K2" s="997"/>
    </row>
    <row r="3" spans="1:19" ht="13.8" x14ac:dyDescent="0.3">
      <c r="K3" s="997"/>
      <c r="L3" s="1002"/>
      <c r="M3" s="1003" t="s">
        <v>1273</v>
      </c>
      <c r="N3" s="1004"/>
      <c r="O3" s="1005" t="s">
        <v>2094</v>
      </c>
      <c r="P3" s="1006"/>
      <c r="Q3" s="1007">
        <f>Beitrag!O73</f>
        <v>0.01</v>
      </c>
    </row>
    <row r="4" spans="1:19" ht="13.8" x14ac:dyDescent="0.3">
      <c r="K4" s="997"/>
      <c r="L4" s="1002"/>
      <c r="M4" s="1003" t="s">
        <v>2133</v>
      </c>
      <c r="N4" s="1004" t="s">
        <v>2134</v>
      </c>
      <c r="O4" s="1008" t="s">
        <v>2135</v>
      </c>
      <c r="P4" s="1008"/>
      <c r="Q4" s="1008"/>
    </row>
    <row r="5" spans="1:19" ht="13.8" x14ac:dyDescent="0.3">
      <c r="A5" s="1404"/>
      <c r="B5" s="1404"/>
      <c r="C5" s="1404"/>
      <c r="D5" s="1404"/>
      <c r="E5" s="1404"/>
      <c r="F5" s="1404"/>
      <c r="G5" s="1404"/>
      <c r="H5" s="1404"/>
      <c r="I5" s="1404"/>
      <c r="J5" s="1404"/>
      <c r="K5" s="997"/>
      <c r="L5" s="1002"/>
      <c r="M5" s="1009">
        <f>IF(Input!G54=0,Input!F54,Input!G54)</f>
        <v>0.02</v>
      </c>
      <c r="N5" s="1010">
        <f>IF(Input!G53=0,Input!F53,Input!G53)</f>
        <v>0.02</v>
      </c>
      <c r="O5" s="1011">
        <v>1</v>
      </c>
      <c r="P5" s="1012">
        <f t="shared" ref="P5:P16" si="0">1+($M$5/12*O5)</f>
        <v>1.0016666666666667</v>
      </c>
      <c r="Q5" s="1012">
        <f t="shared" ref="Q5:Q16" si="1">1+($N$5/12*P5)</f>
        <v>1.0016694444444445</v>
      </c>
    </row>
    <row r="6" spans="1:19" ht="13.8" x14ac:dyDescent="0.3">
      <c r="K6" s="997"/>
      <c r="L6" s="1002"/>
      <c r="M6" s="1013"/>
      <c r="N6" s="1008"/>
      <c r="O6" s="1011">
        <v>2</v>
      </c>
      <c r="P6" s="1012">
        <f t="shared" si="0"/>
        <v>1.0033333333333334</v>
      </c>
      <c r="Q6" s="1012">
        <f t="shared" si="1"/>
        <v>1.0016722222222223</v>
      </c>
    </row>
    <row r="7" spans="1:19" ht="17.399999999999999" x14ac:dyDescent="0.3">
      <c r="A7" s="1014" t="str">
        <f>Übersetzungen!D416</f>
        <v>Berechnung der Angemessenheit gemäss Art. 1 BVV 2</v>
      </c>
      <c r="J7" s="1015" t="str">
        <f>IF(Input!E6="","",Input!E6)</f>
        <v/>
      </c>
      <c r="K7" s="997"/>
      <c r="L7" s="1016">
        <f>IF(Input!K3=1,65,64)</f>
        <v>64</v>
      </c>
      <c r="M7" s="1017">
        <f>VLOOKUP(L7-1,L8:M60,2)*VLOOKUP(13-MONTH(J16),O5:Q16,3)*VLOOKUP(MONTH(J15),O5:Q16,2)</f>
        <v>1.6165421647753322</v>
      </c>
      <c r="N7" s="1018" t="s">
        <v>2137</v>
      </c>
      <c r="O7" s="1011">
        <v>3</v>
      </c>
      <c r="P7" s="1012">
        <f t="shared" si="0"/>
        <v>1.0049999999999999</v>
      </c>
      <c r="Q7" s="1012">
        <f t="shared" si="1"/>
        <v>1.0016750000000001</v>
      </c>
    </row>
    <row r="8" spans="1:19" s="1021" customFormat="1" ht="17.25" customHeight="1" x14ac:dyDescent="0.3">
      <c r="A8" s="1405"/>
      <c r="B8" s="1405"/>
      <c r="C8" s="1405"/>
      <c r="D8" s="1405"/>
      <c r="E8" s="1405"/>
      <c r="F8" s="1405"/>
      <c r="G8" s="1405"/>
      <c r="H8" s="1405"/>
      <c r="I8" s="1405"/>
      <c r="J8" s="1405"/>
      <c r="K8" s="1019"/>
      <c r="L8" s="1002">
        <f>Input!F11</f>
        <v>39</v>
      </c>
      <c r="M8" s="1020">
        <v>1</v>
      </c>
      <c r="N8" s="1020">
        <v>1</v>
      </c>
      <c r="O8" s="1011">
        <v>4</v>
      </c>
      <c r="P8" s="1012">
        <f t="shared" si="0"/>
        <v>1.0066666666666666</v>
      </c>
      <c r="Q8" s="1012">
        <f t="shared" si="1"/>
        <v>1.0016777777777777</v>
      </c>
    </row>
    <row r="9" spans="1:19" s="1029" customFormat="1" ht="11.25" customHeight="1" x14ac:dyDescent="0.3">
      <c r="A9" s="1022" t="str">
        <f>'Zusatzblatt-Feuille supplément.'!A9</f>
        <v>Module</v>
      </c>
      <c r="B9" s="1023"/>
      <c r="C9" s="1023"/>
      <c r="D9" s="1022" t="str">
        <f>'Zusatzblatt-Feuille supplément.'!D9</f>
        <v>Vers.</v>
      </c>
      <c r="E9" s="1024" t="s">
        <v>1793</v>
      </c>
      <c r="F9" s="1025" t="str">
        <f>'Ausweis-Certificat'!F8</f>
        <v>Plan Nr.</v>
      </c>
      <c r="G9" s="1026"/>
      <c r="H9" s="1025" t="str">
        <f>IF(Input!K37=1,""," / IV")</f>
        <v xml:space="preserve"> / IV</v>
      </c>
      <c r="I9" s="1027" t="str">
        <f>IF(Wertebereich!U21="0",""," / TK")</f>
        <v/>
      </c>
      <c r="J9" s="1028" t="s">
        <v>2049</v>
      </c>
      <c r="K9" s="997"/>
      <c r="L9" s="1002">
        <f>L8+1</f>
        <v>40</v>
      </c>
      <c r="M9" s="1020">
        <f t="shared" ref="M9:M60" si="2">M8*(1+$M$5)</f>
        <v>1.02</v>
      </c>
      <c r="N9" s="1020">
        <f t="shared" ref="N9:N60" si="3">N8*(1+$N$5)</f>
        <v>1.02</v>
      </c>
      <c r="O9" s="1011">
        <v>5</v>
      </c>
      <c r="P9" s="1012">
        <f t="shared" si="0"/>
        <v>1.0083333333333333</v>
      </c>
      <c r="Q9" s="1012">
        <f t="shared" si="1"/>
        <v>1.0016805555555555</v>
      </c>
    </row>
    <row r="10" spans="1:19" s="1035" customFormat="1" ht="11.25" customHeight="1" x14ac:dyDescent="0.3">
      <c r="A10" s="1030" t="str">
        <f>CONCATENATE(Wertebereich!U18," / ",Wertebereich!T11)</f>
        <v>L4_keine_keine / 720/R2/TK0/Bb_Plan/A1/25/ZS0</v>
      </c>
      <c r="B10" s="1030"/>
      <c r="C10" s="1030"/>
      <c r="D10" s="1030" t="str">
        <f>'Zusatzblatt-Feuille supplément.'!D10</f>
        <v>SE&lt;50</v>
      </c>
      <c r="E10" s="1031">
        <f>'Ausweis-Certificat'!E9</f>
        <v>423</v>
      </c>
      <c r="F10" s="1406" t="str">
        <f>'Ausweis-Certificat'!F9</f>
        <v>22011001</v>
      </c>
      <c r="G10" s="1406"/>
      <c r="H10" s="1032" t="str">
        <f>IF(Input!K37=1,"",CONCATENATE(" / ",Wertebereich!U20))</f>
        <v xml:space="preserve"> / 40</v>
      </c>
      <c r="I10" s="1033" t="str">
        <f>IF(Wertebereich!U21="0","",CONCATENATE(" / ",Wertebereich!U21))</f>
        <v/>
      </c>
      <c r="J10" s="1034" t="str">
        <f>Wertebereich!V10</f>
        <v>102_</v>
      </c>
      <c r="K10" s="997"/>
      <c r="L10" s="1002">
        <f t="shared" ref="L10:L60" si="4">L9+1</f>
        <v>41</v>
      </c>
      <c r="M10" s="1020">
        <f t="shared" si="2"/>
        <v>1.0404</v>
      </c>
      <c r="N10" s="1020">
        <f t="shared" si="3"/>
        <v>1.0404</v>
      </c>
      <c r="O10" s="1011">
        <v>6</v>
      </c>
      <c r="P10" s="1012">
        <f t="shared" si="0"/>
        <v>1.01</v>
      </c>
      <c r="Q10" s="1012">
        <f t="shared" si="1"/>
        <v>1.0016833333333333</v>
      </c>
    </row>
    <row r="11" spans="1:19" s="1038" customFormat="1" ht="15.6" x14ac:dyDescent="0.3">
      <c r="A11" s="1036"/>
      <c r="B11" s="1035"/>
      <c r="C11" s="1035"/>
      <c r="D11" s="1035"/>
      <c r="E11" s="1035"/>
      <c r="F11" s="1035"/>
      <c r="G11" s="1037"/>
      <c r="H11" s="1035"/>
      <c r="I11" s="1035"/>
      <c r="J11" s="1035"/>
      <c r="K11" s="997"/>
      <c r="L11" s="1002">
        <f t="shared" si="4"/>
        <v>42</v>
      </c>
      <c r="M11" s="1020">
        <f t="shared" si="2"/>
        <v>1.0612079999999999</v>
      </c>
      <c r="N11" s="1020">
        <f t="shared" si="3"/>
        <v>1.0612079999999999</v>
      </c>
      <c r="O11" s="1011">
        <v>7</v>
      </c>
      <c r="P11" s="1012">
        <f t="shared" si="0"/>
        <v>1.0116666666666667</v>
      </c>
      <c r="Q11" s="1012">
        <f t="shared" si="1"/>
        <v>1.0016861111111111</v>
      </c>
    </row>
    <row r="12" spans="1:19" s="1041" customFormat="1" ht="15.75" customHeight="1" x14ac:dyDescent="0.3">
      <c r="A12" s="1039" t="s">
        <v>1140</v>
      </c>
      <c r="B12" s="1040" t="str">
        <f>'Ausweis-Certificat'!B11</f>
        <v>VERSICHERTE PERSON</v>
      </c>
      <c r="C12" s="1040"/>
      <c r="D12" s="1118"/>
      <c r="E12" s="1118"/>
      <c r="F12" s="1118"/>
      <c r="G12" s="1119"/>
      <c r="H12" s="1118"/>
      <c r="I12" s="1118"/>
      <c r="J12" s="1120"/>
      <c r="K12" s="997"/>
      <c r="L12" s="1002">
        <f t="shared" si="4"/>
        <v>43</v>
      </c>
      <c r="M12" s="1020">
        <f t="shared" si="2"/>
        <v>1.08243216</v>
      </c>
      <c r="N12" s="1020">
        <f t="shared" si="3"/>
        <v>1.08243216</v>
      </c>
      <c r="O12" s="1011">
        <v>8</v>
      </c>
      <c r="P12" s="1012">
        <f t="shared" si="0"/>
        <v>1.0133333333333334</v>
      </c>
      <c r="Q12" s="1012">
        <f t="shared" si="1"/>
        <v>1.0016888888888889</v>
      </c>
    </row>
    <row r="13" spans="1:19" s="1041" customFormat="1" ht="18.75" customHeight="1" x14ac:dyDescent="0.3">
      <c r="A13" s="1042"/>
      <c r="B13" s="1041" t="str">
        <f>'Ausweis-Certificat'!B12</f>
        <v>Name / Vorname</v>
      </c>
      <c r="G13" s="1043"/>
      <c r="J13" s="1044" t="str">
        <f>IF(G13="",'Ausweis-Certificat'!J12,G13)</f>
        <v xml:space="preserve">  </v>
      </c>
      <c r="K13" s="997"/>
      <c r="L13" s="1002">
        <f t="shared" si="4"/>
        <v>44</v>
      </c>
      <c r="M13" s="1020">
        <f t="shared" si="2"/>
        <v>1.1040808032</v>
      </c>
      <c r="N13" s="1020">
        <f t="shared" si="3"/>
        <v>1.1040808032</v>
      </c>
      <c r="O13" s="1011">
        <v>9</v>
      </c>
      <c r="P13" s="1012">
        <f t="shared" si="0"/>
        <v>1.0149999999999999</v>
      </c>
      <c r="Q13" s="1012">
        <f t="shared" si="1"/>
        <v>1.0016916666666666</v>
      </c>
    </row>
    <row r="14" spans="1:19" s="1041" customFormat="1" ht="13.8" x14ac:dyDescent="0.3">
      <c r="A14" s="1042"/>
      <c r="B14" s="1041" t="str">
        <f>'Ausweis-Certificat'!B13</f>
        <v>Alter / Geburtsdatum</v>
      </c>
      <c r="D14" s="1045"/>
      <c r="G14" s="1046"/>
      <c r="J14" s="1047">
        <f>'Ausweis-Certificat'!J13</f>
        <v>31048</v>
      </c>
      <c r="K14" s="997"/>
      <c r="L14" s="1002">
        <f t="shared" si="4"/>
        <v>45</v>
      </c>
      <c r="M14" s="1020">
        <f t="shared" si="2"/>
        <v>1.1261624192640001</v>
      </c>
      <c r="N14" s="1020">
        <f t="shared" si="3"/>
        <v>1.1261624192640001</v>
      </c>
      <c r="O14" s="1011">
        <v>10</v>
      </c>
      <c r="P14" s="1012">
        <f t="shared" si="0"/>
        <v>1.0166666666666666</v>
      </c>
      <c r="Q14" s="1012">
        <f t="shared" si="1"/>
        <v>1.0016944444444444</v>
      </c>
    </row>
    <row r="15" spans="1:19" s="1041" customFormat="1" ht="13.8" x14ac:dyDescent="0.3">
      <c r="A15" s="1042"/>
      <c r="B15" s="1041" t="str">
        <f>'Ausweis-Certificat'!B14</f>
        <v>AHV-Referenzalter erreicht am</v>
      </c>
      <c r="G15" s="1043"/>
      <c r="J15" s="1044">
        <f>'Ausweis-Certificat'!J14</f>
        <v>54820</v>
      </c>
      <c r="K15" s="1048"/>
      <c r="L15" s="1002">
        <f t="shared" si="4"/>
        <v>46</v>
      </c>
      <c r="M15" s="1020">
        <f t="shared" si="2"/>
        <v>1.14868566764928</v>
      </c>
      <c r="N15" s="1020">
        <f t="shared" si="3"/>
        <v>1.14868566764928</v>
      </c>
      <c r="O15" s="1011">
        <v>11</v>
      </c>
      <c r="P15" s="1012">
        <f t="shared" si="0"/>
        <v>1.0183333333333333</v>
      </c>
      <c r="Q15" s="1012">
        <f t="shared" si="1"/>
        <v>1.0016972222222222</v>
      </c>
    </row>
    <row r="16" spans="1:19" s="1041" customFormat="1" ht="14.4" thickBot="1" x14ac:dyDescent="0.35">
      <c r="A16" s="1042"/>
      <c r="B16" s="1045" t="str">
        <f>'Ausweis-Certificat'!B15</f>
        <v>Offerte per</v>
      </c>
      <c r="C16" s="1045"/>
      <c r="G16" s="1049"/>
      <c r="J16" s="1050">
        <f>'Ausweis-Certificat'!J15</f>
        <v>45292</v>
      </c>
      <c r="K16" s="1048"/>
      <c r="L16" s="1002">
        <f t="shared" si="4"/>
        <v>47</v>
      </c>
      <c r="M16" s="1020">
        <f t="shared" si="2"/>
        <v>1.1716593810022657</v>
      </c>
      <c r="N16" s="1020">
        <f t="shared" si="3"/>
        <v>1.1716593810022657</v>
      </c>
      <c r="O16" s="1011">
        <v>12</v>
      </c>
      <c r="P16" s="1012">
        <f t="shared" si="0"/>
        <v>1.02</v>
      </c>
      <c r="Q16" s="1012">
        <f t="shared" si="1"/>
        <v>1.0017</v>
      </c>
    </row>
    <row r="17" spans="1:17" s="1041" customFormat="1" ht="14.4" thickBot="1" x14ac:dyDescent="0.35">
      <c r="A17" s="1042"/>
      <c r="B17" s="1041" t="str">
        <f>'Ausweis-Certificat'!B16</f>
        <v>Jahreslohn in CHF</v>
      </c>
      <c r="C17" s="1115"/>
      <c r="D17" s="1116"/>
      <c r="E17" s="1116"/>
      <c r="F17" s="1117" t="str">
        <f>Übersetzungen!D417</f>
        <v>Übersteuerung tatsächliches AHV-Einkommen:</v>
      </c>
      <c r="G17" s="1121"/>
      <c r="J17" s="1051">
        <f>IF(G17="",'Ausweis-Certificat'!J16,G17)</f>
        <v>100000</v>
      </c>
      <c r="K17" s="1048"/>
      <c r="L17" s="1002">
        <f t="shared" si="4"/>
        <v>48</v>
      </c>
      <c r="M17" s="1020">
        <f t="shared" si="2"/>
        <v>1.1950925686223111</v>
      </c>
      <c r="N17" s="1020">
        <f t="shared" si="3"/>
        <v>1.1950925686223111</v>
      </c>
      <c r="O17" s="998"/>
      <c r="P17" s="998"/>
    </row>
    <row r="18" spans="1:17" s="1041" customFormat="1" ht="13.8" x14ac:dyDescent="0.3">
      <c r="A18" s="1042"/>
      <c r="B18" s="1041" t="str">
        <f>'Ausweis-Certificat'!B17</f>
        <v>Versichertes Einkommen in CHF</v>
      </c>
      <c r="G18" s="1052"/>
      <c r="H18" s="1053"/>
      <c r="I18" s="1053" t="str">
        <f>IF(Input!K9=2,CONCATENATE(Input!E23*100," % / "),"")</f>
        <v/>
      </c>
      <c r="J18" s="1051">
        <f>'Ausweis-Certificat'!J17</f>
        <v>100000</v>
      </c>
      <c r="K18" s="1048"/>
      <c r="L18" s="1002">
        <f t="shared" si="4"/>
        <v>49</v>
      </c>
      <c r="M18" s="1020">
        <f t="shared" si="2"/>
        <v>1.2189944199947573</v>
      </c>
      <c r="N18" s="1020">
        <f t="shared" si="3"/>
        <v>1.2189944199947573</v>
      </c>
      <c r="O18" s="998"/>
      <c r="P18" s="998"/>
    </row>
    <row r="19" spans="1:17" s="1041" customFormat="1" ht="13.8" x14ac:dyDescent="0.3">
      <c r="A19" s="1054"/>
      <c r="B19" s="1055" t="str">
        <f>'Ausweis-Certificat'!B18</f>
        <v>Personenkreis / Plannummer / LBI</v>
      </c>
      <c r="C19" s="1056"/>
      <c r="D19" s="1056"/>
      <c r="E19" s="1056"/>
      <c r="F19" s="1056"/>
      <c r="G19" s="1057"/>
      <c r="H19" s="1058"/>
      <c r="I19" s="1056"/>
      <c r="J19" s="1059" t="str">
        <f>'Ausweis-Certificat'!J18</f>
        <v>102_ / 22011001 / 423 / 40</v>
      </c>
      <c r="K19" s="1048"/>
      <c r="L19" s="1002">
        <f t="shared" si="4"/>
        <v>50</v>
      </c>
      <c r="M19" s="1020">
        <f t="shared" si="2"/>
        <v>1.2433743083946525</v>
      </c>
      <c r="N19" s="1020">
        <f t="shared" si="3"/>
        <v>1.2433743083946525</v>
      </c>
      <c r="P19" s="1060" t="s">
        <v>2139</v>
      </c>
      <c r="Q19" s="1061" t="s">
        <v>2140</v>
      </c>
    </row>
    <row r="20" spans="1:17" s="1038" customFormat="1" ht="36.6" customHeight="1" x14ac:dyDescent="0.3">
      <c r="A20" s="1054"/>
      <c r="B20" s="1055"/>
      <c r="C20" s="1056"/>
      <c r="D20" s="1056"/>
      <c r="E20" s="1056"/>
      <c r="F20" s="1056"/>
      <c r="G20" s="1062"/>
      <c r="H20" s="1058"/>
      <c r="I20" s="1056"/>
      <c r="J20" s="1059"/>
      <c r="K20" s="1063"/>
      <c r="L20" s="1002">
        <f t="shared" si="4"/>
        <v>51</v>
      </c>
      <c r="M20" s="1020">
        <f t="shared" si="2"/>
        <v>1.2682417945625455</v>
      </c>
      <c r="N20" s="1020">
        <f t="shared" si="3"/>
        <v>1.2682417945625455</v>
      </c>
      <c r="P20" s="1064">
        <f>J42</f>
        <v>0</v>
      </c>
      <c r="Q20" s="1065">
        <f>YEAR(J15)-YEAR(J16)-1</f>
        <v>25</v>
      </c>
    </row>
    <row r="21" spans="1:17" s="1041" customFormat="1" ht="15.6" x14ac:dyDescent="0.3">
      <c r="A21" s="1039" t="s">
        <v>1138</v>
      </c>
      <c r="B21" s="1040" t="str">
        <f>Übersetzungen!D418</f>
        <v>BERECHNUNG DER ANGEMESSENHEIT GEMÄSS ART. 1 BVV 2</v>
      </c>
      <c r="C21" s="1040"/>
      <c r="D21" s="1118"/>
      <c r="E21" s="1118"/>
      <c r="F21" s="1118"/>
      <c r="G21" s="1119"/>
      <c r="H21" s="1118"/>
      <c r="I21" s="1118"/>
      <c r="J21" s="1120"/>
      <c r="K21" s="1048"/>
      <c r="L21" s="1002">
        <f t="shared" si="4"/>
        <v>52</v>
      </c>
      <c r="M21" s="1020">
        <f t="shared" si="2"/>
        <v>1.2936066304537963</v>
      </c>
      <c r="N21" s="1020">
        <f t="shared" si="3"/>
        <v>1.2936066304537963</v>
      </c>
      <c r="P21" s="1066">
        <f>P20*(1+$Q$3)</f>
        <v>0</v>
      </c>
      <c r="Q21" s="1067">
        <v>1</v>
      </c>
    </row>
    <row r="22" spans="1:17" s="1041" customFormat="1" ht="13.8" x14ac:dyDescent="0.3">
      <c r="A22" s="1068"/>
      <c r="B22" s="1069" t="str">
        <f>IF(J17&lt;50000,Übersetzungen!D419,IF(OR(Input!F63="",Input!F64=""),Übersetzungen!D420,""))</f>
        <v/>
      </c>
      <c r="C22" s="1070"/>
      <c r="D22" s="1070"/>
      <c r="G22" s="1072"/>
      <c r="J22" s="1071" t="str">
        <f>IF(B22="","",99)</f>
        <v/>
      </c>
      <c r="K22" s="1048"/>
      <c r="L22" s="1002">
        <f t="shared" si="4"/>
        <v>53</v>
      </c>
      <c r="M22" s="1020">
        <f t="shared" si="2"/>
        <v>1.3194787630628724</v>
      </c>
      <c r="N22" s="1020">
        <f t="shared" si="3"/>
        <v>1.3194787630628724</v>
      </c>
      <c r="P22" s="1066">
        <f t="shared" ref="P22:P60" si="5">P21*(1+$Q$3)</f>
        <v>0</v>
      </c>
      <c r="Q22" s="1067">
        <f>Q21+1</f>
        <v>2</v>
      </c>
    </row>
    <row r="23" spans="1:17" s="1041" customFormat="1" ht="12.75" customHeight="1" x14ac:dyDescent="0.3">
      <c r="B23" s="1074" t="str">
        <f>Übersetzungen!D421</f>
        <v xml:space="preserve">Definition der Angemessenheit gemäss Art. 1 BVV 2: </v>
      </c>
      <c r="C23" s="1074"/>
      <c r="D23" s="1075"/>
      <c r="E23" s="1075"/>
      <c r="F23" s="1075"/>
      <c r="G23" s="1076"/>
      <c r="H23" s="1075"/>
      <c r="I23" s="1075"/>
      <c r="J23" s="1077"/>
      <c r="K23" s="1048"/>
      <c r="L23" s="1002">
        <f t="shared" si="4"/>
        <v>54</v>
      </c>
      <c r="M23" s="1020">
        <f t="shared" si="2"/>
        <v>1.3458683383241299</v>
      </c>
      <c r="N23" s="1020">
        <f t="shared" si="3"/>
        <v>1.3458683383241299</v>
      </c>
      <c r="P23" s="1066">
        <f t="shared" si="5"/>
        <v>0</v>
      </c>
      <c r="Q23" s="1067">
        <f t="shared" ref="Q23:Q60" si="6">Q22+1</f>
        <v>3</v>
      </c>
    </row>
    <row r="24" spans="1:17" s="1041" customFormat="1" ht="13.8" x14ac:dyDescent="0.3">
      <c r="A24" s="1042"/>
      <c r="B24" s="1074" t="str">
        <f>Übersetzungen!D422</f>
        <v>AHV- und PK-Renten betragen nicht mehr als 85% des AHV-Einkommens.</v>
      </c>
      <c r="C24" s="1075"/>
      <c r="D24" s="1075"/>
      <c r="E24" s="1075"/>
      <c r="F24" s="1075"/>
      <c r="G24" s="1076"/>
      <c r="H24" s="1075"/>
      <c r="I24" s="1075"/>
      <c r="J24" s="1077"/>
      <c r="K24" s="1048"/>
      <c r="L24" s="1002">
        <f t="shared" si="4"/>
        <v>55</v>
      </c>
      <c r="M24" s="1020">
        <f t="shared" si="2"/>
        <v>1.3727857050906125</v>
      </c>
      <c r="N24" s="1020">
        <f t="shared" si="3"/>
        <v>1.3727857050906125</v>
      </c>
      <c r="P24" s="1066">
        <f t="shared" si="5"/>
        <v>0</v>
      </c>
      <c r="Q24" s="1067">
        <f t="shared" si="6"/>
        <v>4</v>
      </c>
    </row>
    <row r="25" spans="1:17" s="1041" customFormat="1" ht="13.8" x14ac:dyDescent="0.3">
      <c r="A25" s="1042"/>
      <c r="C25" s="1075"/>
      <c r="D25" s="1075"/>
      <c r="E25" s="1075"/>
      <c r="F25" s="1075"/>
      <c r="G25" s="1076"/>
      <c r="H25" s="1075"/>
      <c r="I25" s="1075"/>
      <c r="J25" s="1077"/>
      <c r="K25" s="1048"/>
      <c r="L25" s="1002">
        <f t="shared" si="4"/>
        <v>56</v>
      </c>
      <c r="M25" s="1020">
        <f t="shared" si="2"/>
        <v>1.4002414191924248</v>
      </c>
      <c r="N25" s="1020">
        <f t="shared" si="3"/>
        <v>1.4002414191924248</v>
      </c>
      <c r="P25" s="1066">
        <f t="shared" si="5"/>
        <v>0</v>
      </c>
      <c r="Q25" s="1067">
        <f t="shared" si="6"/>
        <v>5</v>
      </c>
    </row>
    <row r="26" spans="1:17" s="1041" customFormat="1" ht="12.75" customHeight="1" x14ac:dyDescent="0.3">
      <c r="A26" s="1042"/>
      <c r="B26" s="1070" t="str">
        <f>Übersetzungen!D423</f>
        <v>Voraussichtliche Altersrente in CHF, projiziert mit Zins*</v>
      </c>
      <c r="C26" s="1070"/>
      <c r="D26" s="1070"/>
      <c r="F26" s="1070"/>
      <c r="G26" s="1053" t="str">
        <f>IF(Input!K3=1,Übersetzungen!D424,Übersetzungen!D425)</f>
        <v>im Alter 64</v>
      </c>
      <c r="H26" s="1070"/>
      <c r="I26" s="1078"/>
      <c r="J26" s="1077">
        <f>IF(J22=99,0,IF(Input!K3=1,Input!G64,Input!G63))</f>
        <v>24467.237818647252</v>
      </c>
      <c r="K26" s="1048"/>
      <c r="L26" s="1002">
        <f t="shared" si="4"/>
        <v>57</v>
      </c>
      <c r="M26" s="1020">
        <f t="shared" si="2"/>
        <v>1.4282462475762734</v>
      </c>
      <c r="N26" s="1020">
        <f t="shared" si="3"/>
        <v>1.4282462475762734</v>
      </c>
      <c r="P26" s="1066">
        <f t="shared" si="5"/>
        <v>0</v>
      </c>
      <c r="Q26" s="1067">
        <f t="shared" si="6"/>
        <v>6</v>
      </c>
    </row>
    <row r="27" spans="1:17" s="1041" customFormat="1" ht="12.75" customHeight="1" x14ac:dyDescent="0.3">
      <c r="A27" s="1079" t="s">
        <v>2046</v>
      </c>
      <c r="B27" s="1080" t="str">
        <f>'Ausweis-Certificat'!B28</f>
        <v>Projektionszins: 2024 2%; ab 2025 2%</v>
      </c>
      <c r="C27" s="1081"/>
      <c r="D27" s="1082"/>
      <c r="F27" s="1070"/>
      <c r="G27" s="1081"/>
      <c r="I27" s="1070"/>
      <c r="J27" s="1083"/>
      <c r="K27" s="1048"/>
      <c r="L27" s="1002">
        <f t="shared" si="4"/>
        <v>58</v>
      </c>
      <c r="M27" s="1020">
        <f t="shared" si="2"/>
        <v>1.4568111725277988</v>
      </c>
      <c r="N27" s="1020">
        <f t="shared" si="3"/>
        <v>1.4568111725277988</v>
      </c>
      <c r="P27" s="1066">
        <f t="shared" si="5"/>
        <v>0</v>
      </c>
      <c r="Q27" s="1067">
        <f t="shared" si="6"/>
        <v>7</v>
      </c>
    </row>
    <row r="28" spans="1:17" s="1041" customFormat="1" ht="12.75" customHeight="1" x14ac:dyDescent="0.3">
      <c r="J28" s="1073"/>
      <c r="K28" s="1048"/>
      <c r="L28" s="1002">
        <f t="shared" si="4"/>
        <v>59</v>
      </c>
      <c r="M28" s="1020">
        <f t="shared" si="2"/>
        <v>1.4859473959783549</v>
      </c>
      <c r="N28" s="1020">
        <f t="shared" si="3"/>
        <v>1.4859473959783549</v>
      </c>
      <c r="P28" s="1066">
        <f t="shared" si="5"/>
        <v>0</v>
      </c>
      <c r="Q28" s="1067">
        <f t="shared" si="6"/>
        <v>8</v>
      </c>
    </row>
    <row r="29" spans="1:17" s="1041" customFormat="1" ht="13.8" x14ac:dyDescent="0.3">
      <c r="B29" s="1041" t="str">
        <f>Übersetzungen!D426</f>
        <v>Tatsächlicher AHV-Jahreslohn in CHF</v>
      </c>
      <c r="G29" s="1072"/>
      <c r="J29" s="1084">
        <f>IF(J22=99,0,J17)</f>
        <v>100000</v>
      </c>
      <c r="K29" s="1048"/>
      <c r="L29" s="1002">
        <f t="shared" si="4"/>
        <v>60</v>
      </c>
      <c r="M29" s="1020">
        <f t="shared" si="2"/>
        <v>1.5156663438979221</v>
      </c>
      <c r="N29" s="1020">
        <f t="shared" si="3"/>
        <v>1.5156663438979221</v>
      </c>
      <c r="P29" s="1066">
        <f t="shared" si="5"/>
        <v>0</v>
      </c>
      <c r="Q29" s="1067">
        <f t="shared" si="6"/>
        <v>9</v>
      </c>
    </row>
    <row r="30" spans="1:17" s="1041" customFormat="1" ht="13.8" x14ac:dyDescent="0.3">
      <c r="B30" s="1041" t="str">
        <f>Übersetzungen!D427</f>
        <v>Angemessenheit für Renteneinkommen gem. Art. 1 BVV 2</v>
      </c>
      <c r="G30" s="1085">
        <v>0.85</v>
      </c>
      <c r="J30" s="1084">
        <f>IF(J22=99,0,G30*J17)</f>
        <v>85000</v>
      </c>
      <c r="K30" s="1048"/>
      <c r="L30" s="1002">
        <f t="shared" si="4"/>
        <v>61</v>
      </c>
      <c r="M30" s="1020">
        <f t="shared" si="2"/>
        <v>1.5459796707758806</v>
      </c>
      <c r="N30" s="1020">
        <f t="shared" si="3"/>
        <v>1.5459796707758806</v>
      </c>
      <c r="O30" s="1086"/>
      <c r="P30" s="1066">
        <f t="shared" si="5"/>
        <v>0</v>
      </c>
      <c r="Q30" s="1067">
        <f t="shared" si="6"/>
        <v>10</v>
      </c>
    </row>
    <row r="31" spans="1:17" s="1041" customFormat="1" ht="12.75" customHeight="1" x14ac:dyDescent="0.3">
      <c r="A31" s="1042"/>
      <c r="G31" s="1072"/>
      <c r="J31" s="1073"/>
      <c r="K31" s="1048"/>
      <c r="L31" s="1002">
        <f t="shared" si="4"/>
        <v>62</v>
      </c>
      <c r="M31" s="1020">
        <f t="shared" si="2"/>
        <v>1.5768992641913981</v>
      </c>
      <c r="N31" s="1020">
        <f t="shared" si="3"/>
        <v>1.5768992641913981</v>
      </c>
      <c r="O31" s="1060"/>
      <c r="P31" s="1066">
        <f t="shared" si="5"/>
        <v>0</v>
      </c>
      <c r="Q31" s="1067">
        <f t="shared" si="6"/>
        <v>11</v>
      </c>
    </row>
    <row r="32" spans="1:17" s="1041" customFormat="1" ht="16.2" x14ac:dyDescent="0.3">
      <c r="A32" s="1042"/>
      <c r="B32" s="1041" t="str">
        <f>Übersetzungen!D428</f>
        <v>Annahme: maximale einfache AHV-Rente im AHV-Alter</v>
      </c>
      <c r="E32" s="1087" t="s">
        <v>2147</v>
      </c>
      <c r="G32" s="1072"/>
      <c r="J32" s="1084">
        <f>IF(J22=99,0,IF(J29&gt;Input!J19/6*8*3,Input!J19/6*8,40%*Input!J19/6*8+20%*J29))</f>
        <v>29400</v>
      </c>
      <c r="K32" s="1048"/>
      <c r="L32" s="1002">
        <f t="shared" si="4"/>
        <v>63</v>
      </c>
      <c r="M32" s="1020">
        <f t="shared" si="2"/>
        <v>1.6084372494752261</v>
      </c>
      <c r="N32" s="1020">
        <f t="shared" si="3"/>
        <v>1.6084372494752261</v>
      </c>
      <c r="O32" s="1060"/>
      <c r="P32" s="1066">
        <f t="shared" si="5"/>
        <v>0</v>
      </c>
      <c r="Q32" s="1067">
        <f t="shared" si="6"/>
        <v>12</v>
      </c>
    </row>
    <row r="33" spans="1:17" s="1041" customFormat="1" ht="13.8" x14ac:dyDescent="0.3">
      <c r="A33" s="1042"/>
      <c r="B33" s="1041" t="str">
        <f>Übersetzungen!D429</f>
        <v xml:space="preserve">Maximal angemessene Pensionskassenrente </v>
      </c>
      <c r="G33" s="1072"/>
      <c r="J33" s="1088">
        <f>IF(J22=99,0,J30-J32)</f>
        <v>55600</v>
      </c>
      <c r="K33" s="1048"/>
      <c r="L33" s="1002">
        <f t="shared" si="4"/>
        <v>64</v>
      </c>
      <c r="M33" s="1020">
        <f t="shared" si="2"/>
        <v>1.6406059944647307</v>
      </c>
      <c r="N33" s="1020">
        <f t="shared" si="3"/>
        <v>1.6406059944647307</v>
      </c>
      <c r="O33" s="1060"/>
      <c r="P33" s="1066">
        <f t="shared" si="5"/>
        <v>0</v>
      </c>
      <c r="Q33" s="1067">
        <f t="shared" si="6"/>
        <v>13</v>
      </c>
    </row>
    <row r="34" spans="1:17" s="1041" customFormat="1" ht="13.8" x14ac:dyDescent="0.3">
      <c r="A34" s="1042"/>
      <c r="B34" s="1070" t="str">
        <f>Übersetzungen!D430</f>
        <v>Maximal zulässiges Renteneinkommen</v>
      </c>
      <c r="C34" s="1070"/>
      <c r="D34" s="1070"/>
      <c r="E34" s="1070"/>
      <c r="F34" s="1070"/>
      <c r="G34" s="1070"/>
      <c r="H34" s="1070"/>
      <c r="I34" s="1070"/>
      <c r="J34" s="1089">
        <f>SUM(J32:J33)</f>
        <v>85000</v>
      </c>
      <c r="K34" s="1048"/>
      <c r="L34" s="1002">
        <f t="shared" si="4"/>
        <v>65</v>
      </c>
      <c r="M34" s="1020">
        <f t="shared" si="2"/>
        <v>1.6734181143540252</v>
      </c>
      <c r="N34" s="1020">
        <f t="shared" si="3"/>
        <v>1.6734181143540252</v>
      </c>
      <c r="O34" s="1060"/>
      <c r="P34" s="1066">
        <f t="shared" si="5"/>
        <v>0</v>
      </c>
      <c r="Q34" s="1067">
        <f t="shared" si="6"/>
        <v>14</v>
      </c>
    </row>
    <row r="35" spans="1:17" s="1041" customFormat="1" ht="12.75" customHeight="1" x14ac:dyDescent="0.3">
      <c r="A35" s="1042"/>
      <c r="G35" s="1072"/>
      <c r="J35" s="1084"/>
      <c r="K35" s="1048"/>
      <c r="L35" s="1002">
        <f t="shared" si="4"/>
        <v>66</v>
      </c>
      <c r="M35" s="1020">
        <f t="shared" si="2"/>
        <v>1.7068864766411058</v>
      </c>
      <c r="N35" s="1020">
        <f t="shared" si="3"/>
        <v>1.7068864766411058</v>
      </c>
      <c r="O35" s="1060"/>
      <c r="P35" s="1066">
        <f t="shared" si="5"/>
        <v>0</v>
      </c>
      <c r="Q35" s="1067">
        <f t="shared" si="6"/>
        <v>15</v>
      </c>
    </row>
    <row r="36" spans="1:17" s="1041" customFormat="1" ht="12.75" customHeight="1" x14ac:dyDescent="0.3">
      <c r="A36" s="1042"/>
      <c r="B36" s="1041" t="str">
        <f>Übersetzungen!D431</f>
        <v>Möglicher Einkauf gemäss Vorsorgereglement</v>
      </c>
      <c r="G36" s="1072"/>
      <c r="J36" s="1084">
        <f>IF(J22=99,0,'Ausweis-Certificat'!J52)</f>
        <v>124200</v>
      </c>
      <c r="K36" s="1048"/>
      <c r="L36" s="1002">
        <f t="shared" si="4"/>
        <v>67</v>
      </c>
      <c r="M36" s="1020">
        <f t="shared" si="2"/>
        <v>1.7410242061739281</v>
      </c>
      <c r="N36" s="1020">
        <f t="shared" si="3"/>
        <v>1.7410242061739281</v>
      </c>
      <c r="O36" s="998"/>
      <c r="P36" s="1066">
        <f t="shared" si="5"/>
        <v>0</v>
      </c>
      <c r="Q36" s="1067">
        <f t="shared" si="6"/>
        <v>16</v>
      </c>
    </row>
    <row r="37" spans="1:17" s="1041" customFormat="1" ht="12.75" customHeight="1" x14ac:dyDescent="0.3">
      <c r="A37" s="1079" t="s">
        <v>2046</v>
      </c>
      <c r="B37" s="1041" t="str">
        <f>Übersetzungen!D432</f>
        <v>voraussichtliches Altersendkapital aus maximalem Einkauf gemäss Vorsorgereglement</v>
      </c>
      <c r="G37" s="1072"/>
      <c r="J37" s="1073">
        <f>M7*J36</f>
        <v>200774.53686509625</v>
      </c>
      <c r="K37" s="1048"/>
      <c r="L37" s="1002">
        <f t="shared" si="4"/>
        <v>68</v>
      </c>
      <c r="M37" s="1020">
        <f t="shared" si="2"/>
        <v>1.7758446902974065</v>
      </c>
      <c r="N37" s="1020">
        <f t="shared" si="3"/>
        <v>1.7758446902974065</v>
      </c>
      <c r="O37" s="998"/>
      <c r="P37" s="1066">
        <f t="shared" si="5"/>
        <v>0</v>
      </c>
      <c r="Q37" s="1067">
        <f t="shared" si="6"/>
        <v>17</v>
      </c>
    </row>
    <row r="38" spans="1:17" s="1041" customFormat="1" ht="13.8" x14ac:dyDescent="0.3">
      <c r="A38" s="1079"/>
      <c r="B38" s="1074" t="str">
        <f>Übersetzungen!D433</f>
        <v>Pensionskassenrente bei maximalem reglementarischem Einkauf</v>
      </c>
      <c r="C38" s="1074"/>
      <c r="G38" s="1072"/>
      <c r="J38" s="1123">
        <f>IF(OR(J36=0,J22=99),0,IF(Input!K3=1,Input!F64,Input!F63)*J37+J26)</f>
        <v>35007.901004064806</v>
      </c>
      <c r="K38" s="1048"/>
      <c r="L38" s="1002">
        <f t="shared" si="4"/>
        <v>69</v>
      </c>
      <c r="M38" s="1020">
        <f t="shared" si="2"/>
        <v>1.8113615841033548</v>
      </c>
      <c r="N38" s="1020">
        <f t="shared" si="3"/>
        <v>1.8113615841033548</v>
      </c>
      <c r="O38" s="998"/>
      <c r="P38" s="1066">
        <f t="shared" si="5"/>
        <v>0</v>
      </c>
      <c r="Q38" s="1067">
        <f t="shared" si="6"/>
        <v>18</v>
      </c>
    </row>
    <row r="39" spans="1:17" s="1041" customFormat="1" ht="12.75" customHeight="1" x14ac:dyDescent="0.3">
      <c r="A39" s="1042"/>
      <c r="B39" s="1074" t="str">
        <f>Übersetzungen!D434</f>
        <v>Rentenüberschuss gegenüber maximal angemessener Pensionskassenrente</v>
      </c>
      <c r="J39" s="1090">
        <f>IF(J38&lt;J33,0,(J38-J33))</f>
        <v>0</v>
      </c>
      <c r="K39" s="1048"/>
      <c r="L39" s="1002">
        <f t="shared" si="4"/>
        <v>70</v>
      </c>
      <c r="M39" s="1020">
        <f t="shared" si="2"/>
        <v>1.8475888157854219</v>
      </c>
      <c r="N39" s="1020">
        <f t="shared" si="3"/>
        <v>1.8475888157854219</v>
      </c>
      <c r="O39" s="998"/>
      <c r="P39" s="1066">
        <f t="shared" si="5"/>
        <v>0</v>
      </c>
      <c r="Q39" s="1067">
        <f t="shared" si="6"/>
        <v>19</v>
      </c>
    </row>
    <row r="40" spans="1:17" s="1041" customFormat="1" ht="13.8" x14ac:dyDescent="0.3">
      <c r="A40" s="1042"/>
      <c r="B40" s="1074" t="str">
        <f>Übersetzungen!D435</f>
        <v>Altersendkapitalüberschuss</v>
      </c>
      <c r="C40" s="1074"/>
      <c r="D40" s="1074"/>
      <c r="E40" s="1074"/>
      <c r="F40" s="1074"/>
      <c r="G40" s="1091"/>
      <c r="H40" s="1074"/>
      <c r="I40" s="1074"/>
      <c r="J40" s="1090">
        <f>IF(J22=99,0,J39/IF(Input!K3=1,Input!F64,Input!F63))</f>
        <v>0</v>
      </c>
      <c r="K40" s="1048"/>
      <c r="L40" s="1002">
        <f t="shared" si="4"/>
        <v>71</v>
      </c>
      <c r="M40" s="1020">
        <f t="shared" si="2"/>
        <v>1.8845405921011305</v>
      </c>
      <c r="N40" s="1020">
        <f t="shared" si="3"/>
        <v>1.8845405921011305</v>
      </c>
      <c r="O40" s="998"/>
      <c r="P40" s="1066">
        <f t="shared" si="5"/>
        <v>0</v>
      </c>
      <c r="Q40" s="1067">
        <f t="shared" si="6"/>
        <v>20</v>
      </c>
    </row>
    <row r="41" spans="1:17" s="1041" customFormat="1" ht="12.75" customHeight="1" x14ac:dyDescent="0.3">
      <c r="J41" s="1073"/>
      <c r="K41" s="1048"/>
      <c r="L41" s="1002">
        <f t="shared" si="4"/>
        <v>72</v>
      </c>
      <c r="M41" s="1020">
        <f t="shared" si="2"/>
        <v>1.9222314039431532</v>
      </c>
      <c r="N41" s="1020">
        <f t="shared" si="3"/>
        <v>1.9222314039431532</v>
      </c>
      <c r="O41" s="998"/>
      <c r="P41" s="1066">
        <f t="shared" si="5"/>
        <v>0</v>
      </c>
      <c r="Q41" s="1067">
        <f t="shared" si="6"/>
        <v>21</v>
      </c>
    </row>
    <row r="42" spans="1:17" s="1041" customFormat="1" ht="13.8" x14ac:dyDescent="0.3">
      <c r="B42" s="1041" t="str">
        <f>Übersetzungen!D436</f>
        <v>Reduktion reglementarischer maximaler Einkauf für Angemessenheit</v>
      </c>
      <c r="I42" s="1041" t="s">
        <v>2046</v>
      </c>
      <c r="J42" s="1073">
        <f>IF(J39=0,0,PV(Q3,YEAR(J15)-YEAR(J16)-1,0,J40,0))</f>
        <v>0</v>
      </c>
      <c r="K42" s="1048"/>
      <c r="L42" s="1002">
        <f t="shared" si="4"/>
        <v>73</v>
      </c>
      <c r="M42" s="1020">
        <f t="shared" si="2"/>
        <v>1.9606760320220162</v>
      </c>
      <c r="N42" s="1020">
        <f t="shared" si="3"/>
        <v>1.9606760320220162</v>
      </c>
      <c r="O42" s="998"/>
      <c r="P42" s="1066">
        <f t="shared" si="5"/>
        <v>0</v>
      </c>
      <c r="Q42" s="1067">
        <f t="shared" si="6"/>
        <v>22</v>
      </c>
    </row>
    <row r="43" spans="1:17" s="1041" customFormat="1" ht="13.8" x14ac:dyDescent="0.3">
      <c r="B43" s="1074" t="str">
        <f>Übersetzungen!D437</f>
        <v>* Berücksichtigt werden nur vollständige Jahre, abdiskontiert mit dem BVG-Mindestzinssatz.</v>
      </c>
      <c r="J43" s="1073"/>
      <c r="K43" s="1048"/>
      <c r="L43" s="1002">
        <f t="shared" si="4"/>
        <v>74</v>
      </c>
      <c r="M43" s="1020">
        <f t="shared" si="2"/>
        <v>1.9998895526624565</v>
      </c>
      <c r="N43" s="1020">
        <f t="shared" si="3"/>
        <v>1.9998895526624565</v>
      </c>
      <c r="O43" s="998"/>
      <c r="P43" s="1066">
        <f t="shared" si="5"/>
        <v>0</v>
      </c>
      <c r="Q43" s="1067">
        <f t="shared" si="6"/>
        <v>23</v>
      </c>
    </row>
    <row r="44" spans="1:17" s="1041" customFormat="1" ht="42.6" customHeight="1" x14ac:dyDescent="0.3">
      <c r="J44" s="1073"/>
      <c r="K44" s="1048"/>
      <c r="L44" s="1002">
        <f t="shared" si="4"/>
        <v>75</v>
      </c>
      <c r="M44" s="1020">
        <f t="shared" si="2"/>
        <v>2.0398873437157055</v>
      </c>
      <c r="N44" s="1020">
        <f t="shared" si="3"/>
        <v>2.0398873437157055</v>
      </c>
      <c r="O44" s="998"/>
      <c r="P44" s="1066">
        <f t="shared" si="5"/>
        <v>0</v>
      </c>
      <c r="Q44" s="1067">
        <f t="shared" si="6"/>
        <v>24</v>
      </c>
    </row>
    <row r="45" spans="1:17" s="1041" customFormat="1" ht="15.6" x14ac:dyDescent="0.3">
      <c r="A45" s="1039" t="s">
        <v>1139</v>
      </c>
      <c r="B45" s="1040" t="str">
        <f>Übersetzungen!D438</f>
        <v>MAXIMALER ANGEMESSENER EINKAUF PER BERECHNUNGSJAHR</v>
      </c>
      <c r="C45" s="1040"/>
      <c r="D45" s="1118"/>
      <c r="E45" s="1118"/>
      <c r="F45" s="1118"/>
      <c r="G45" s="1119"/>
      <c r="H45" s="1118"/>
      <c r="I45" s="1118"/>
      <c r="J45" s="1120">
        <f>IF(J22=99,0,IF(J36+J42&lt;0,0,J36+J42))</f>
        <v>124200</v>
      </c>
      <c r="K45" s="1048"/>
      <c r="L45" s="1002">
        <f t="shared" si="4"/>
        <v>76</v>
      </c>
      <c r="M45" s="1020">
        <f t="shared" si="2"/>
        <v>2.0806850905900198</v>
      </c>
      <c r="N45" s="1020">
        <f t="shared" si="3"/>
        <v>2.0806850905900198</v>
      </c>
      <c r="O45" s="998"/>
      <c r="P45" s="1066">
        <f t="shared" si="5"/>
        <v>0</v>
      </c>
      <c r="Q45" s="1067">
        <f t="shared" si="6"/>
        <v>25</v>
      </c>
    </row>
    <row r="46" spans="1:17" s="1041" customFormat="1" ht="12.75" customHeight="1" x14ac:dyDescent="0.3">
      <c r="A46" s="1039"/>
      <c r="G46" s="1072"/>
      <c r="J46" s="1072"/>
      <c r="K46" s="1048"/>
      <c r="L46" s="1002">
        <f t="shared" si="4"/>
        <v>77</v>
      </c>
      <c r="M46" s="1020">
        <f t="shared" si="2"/>
        <v>2.1222987924018204</v>
      </c>
      <c r="N46" s="1020">
        <f t="shared" si="3"/>
        <v>2.1222987924018204</v>
      </c>
      <c r="O46" s="998"/>
      <c r="P46" s="1066">
        <f t="shared" si="5"/>
        <v>0</v>
      </c>
      <c r="Q46" s="1067">
        <f t="shared" si="6"/>
        <v>26</v>
      </c>
    </row>
    <row r="47" spans="1:17" s="1038" customFormat="1" ht="12.75" customHeight="1" x14ac:dyDescent="0.3">
      <c r="A47" s="1042"/>
      <c r="B47" s="1041" t="str">
        <f>Übersetzungen!D439</f>
        <v>1) Annahme Berechnung der einfachen AHV-Altersrente:</v>
      </c>
      <c r="C47" s="1041"/>
      <c r="D47" s="1041"/>
      <c r="E47" s="1041"/>
      <c r="F47" s="1041"/>
      <c r="G47" s="1072"/>
      <c r="H47" s="1041"/>
      <c r="I47" s="1041"/>
      <c r="J47" s="1072"/>
      <c r="K47" s="1092"/>
      <c r="L47" s="1002">
        <f t="shared" si="4"/>
        <v>78</v>
      </c>
      <c r="M47" s="1020">
        <f t="shared" si="2"/>
        <v>2.1647447682498568</v>
      </c>
      <c r="N47" s="1020">
        <f t="shared" si="3"/>
        <v>2.1647447682498568</v>
      </c>
      <c r="O47" s="1093"/>
      <c r="P47" s="1066">
        <f t="shared" si="5"/>
        <v>0</v>
      </c>
      <c r="Q47" s="1067">
        <f t="shared" si="6"/>
        <v>27</v>
      </c>
    </row>
    <row r="48" spans="1:17" s="1041" customFormat="1" ht="13.8" x14ac:dyDescent="0.3">
      <c r="A48" s="1042"/>
      <c r="B48" s="1094" t="str">
        <f>CONCATENATE(Übersetzungen!D440," ","CHF ",Input!J19/6*8*3,":")</f>
        <v>- bei Löhnen bis CHF 88200:</v>
      </c>
      <c r="G48" s="1072"/>
      <c r="K48" s="1048"/>
      <c r="L48" s="1002">
        <f t="shared" si="4"/>
        <v>79</v>
      </c>
      <c r="M48" s="1020">
        <f t="shared" si="2"/>
        <v>2.208039663614854</v>
      </c>
      <c r="N48" s="1020">
        <f t="shared" si="3"/>
        <v>2.208039663614854</v>
      </c>
      <c r="O48" s="1086"/>
      <c r="P48" s="1066">
        <f t="shared" si="5"/>
        <v>0</v>
      </c>
      <c r="Q48" s="1067">
        <f t="shared" si="6"/>
        <v>28</v>
      </c>
    </row>
    <row r="49" spans="1:17" s="1041" customFormat="1" ht="13.8" x14ac:dyDescent="0.3">
      <c r="A49" s="1042"/>
      <c r="B49" s="1041" t="str">
        <f>Übersetzungen!D441</f>
        <v>Annäherungswert = 20% des Jahreslohnes + 40% max. AHV-Altersrente</v>
      </c>
      <c r="C49" s="1094"/>
      <c r="G49" s="1072"/>
      <c r="J49" s="1044"/>
      <c r="K49" s="1048"/>
      <c r="L49" s="1002">
        <f t="shared" si="4"/>
        <v>80</v>
      </c>
      <c r="M49" s="1020">
        <f t="shared" si="2"/>
        <v>2.252200456887151</v>
      </c>
      <c r="N49" s="1020">
        <f t="shared" si="3"/>
        <v>2.252200456887151</v>
      </c>
      <c r="O49" s="1095"/>
      <c r="P49" s="1066">
        <f t="shared" si="5"/>
        <v>0</v>
      </c>
      <c r="Q49" s="1067">
        <f t="shared" si="6"/>
        <v>29</v>
      </c>
    </row>
    <row r="50" spans="1:17" s="1041" customFormat="1" ht="12.75" customHeight="1" x14ac:dyDescent="0.3">
      <c r="A50" s="1042"/>
      <c r="B50" s="1094" t="str">
        <f>CONCATENATE(Übersetzungen!D442," ","CHF ",Input!J19/6*8*3,":")</f>
        <v>- bei Löhnen über CHF 88200:</v>
      </c>
      <c r="G50" s="1072"/>
      <c r="K50" s="1096"/>
      <c r="L50" s="1002">
        <f t="shared" si="4"/>
        <v>81</v>
      </c>
      <c r="M50" s="1020">
        <f t="shared" si="2"/>
        <v>2.2972444660248938</v>
      </c>
      <c r="N50" s="1020">
        <f t="shared" si="3"/>
        <v>2.2972444660248938</v>
      </c>
      <c r="O50" s="1095"/>
      <c r="P50" s="1066">
        <f t="shared" si="5"/>
        <v>0</v>
      </c>
      <c r="Q50" s="1067">
        <f t="shared" si="6"/>
        <v>30</v>
      </c>
    </row>
    <row r="51" spans="1:17" s="1041" customFormat="1" ht="17.25" customHeight="1" x14ac:dyDescent="0.3">
      <c r="A51" s="1042"/>
      <c r="B51" s="1094" t="str">
        <f>Übersetzungen!D443</f>
        <v>einfache maximale AHV-Altersrente</v>
      </c>
      <c r="G51" s="1072"/>
      <c r="J51" s="1044"/>
      <c r="K51" s="1096"/>
      <c r="L51" s="1002">
        <f t="shared" si="4"/>
        <v>82</v>
      </c>
      <c r="M51" s="1020">
        <f t="shared" si="2"/>
        <v>2.343189355345392</v>
      </c>
      <c r="N51" s="1020">
        <f t="shared" si="3"/>
        <v>2.343189355345392</v>
      </c>
      <c r="O51" s="1095"/>
      <c r="P51" s="1066">
        <f t="shared" si="5"/>
        <v>0</v>
      </c>
      <c r="Q51" s="1067">
        <f t="shared" si="6"/>
        <v>31</v>
      </c>
    </row>
    <row r="52" spans="1:17" s="1041" customFormat="1" ht="12" customHeight="1" x14ac:dyDescent="0.3">
      <c r="A52" s="1068"/>
      <c r="B52" s="1038"/>
      <c r="C52" s="1038"/>
      <c r="D52" s="1038"/>
      <c r="E52" s="1038"/>
      <c r="F52" s="1038"/>
      <c r="G52" s="1038"/>
      <c r="H52" s="1038"/>
      <c r="I52" s="1038"/>
      <c r="J52" s="1038"/>
      <c r="K52" s="1096"/>
      <c r="L52" s="1002">
        <f t="shared" si="4"/>
        <v>83</v>
      </c>
      <c r="M52" s="1020">
        <f t="shared" si="2"/>
        <v>2.3900531424522997</v>
      </c>
      <c r="N52" s="1020">
        <f t="shared" si="3"/>
        <v>2.3900531424522997</v>
      </c>
      <c r="O52" s="1095"/>
      <c r="P52" s="1066">
        <f t="shared" si="5"/>
        <v>0</v>
      </c>
      <c r="Q52" s="1067">
        <f t="shared" si="6"/>
        <v>32</v>
      </c>
    </row>
    <row r="53" spans="1:17" s="1041" customFormat="1" ht="15.75" customHeight="1" x14ac:dyDescent="0.3">
      <c r="A53" s="1041" t="str">
        <f ca="1">'Ausweis-Certificat'!A60</f>
        <v>Erstellt am 17.5.2023.</v>
      </c>
      <c r="B53" s="1074"/>
      <c r="D53" s="1072"/>
      <c r="G53" s="1072"/>
      <c r="J53" s="1097" t="str">
        <f ca="1">Input!H90</f>
        <v>17.5.23 / Tool 2024 (V 30.04.2023)</v>
      </c>
      <c r="K53" s="1048"/>
      <c r="L53" s="1002">
        <f t="shared" si="4"/>
        <v>84</v>
      </c>
      <c r="M53" s="1020">
        <f t="shared" si="2"/>
        <v>2.4378542053013459</v>
      </c>
      <c r="N53" s="1020">
        <f t="shared" si="3"/>
        <v>2.4378542053013459</v>
      </c>
      <c r="O53" s="1095"/>
      <c r="P53" s="1066">
        <f t="shared" si="5"/>
        <v>0</v>
      </c>
      <c r="Q53" s="1067">
        <f t="shared" si="6"/>
        <v>33</v>
      </c>
    </row>
    <row r="54" spans="1:17" s="1038" customFormat="1" ht="15.6" x14ac:dyDescent="0.3">
      <c r="A54" s="1042"/>
      <c r="B54" s="1041"/>
      <c r="C54" s="1041"/>
      <c r="D54" s="1072"/>
      <c r="E54" s="1041"/>
      <c r="F54" s="1041"/>
      <c r="G54" s="1072"/>
      <c r="H54" s="1041"/>
      <c r="I54" s="1041"/>
      <c r="J54" s="1098"/>
      <c r="K54" s="1092"/>
      <c r="L54" s="1002">
        <f t="shared" si="4"/>
        <v>85</v>
      </c>
      <c r="M54" s="1020">
        <f t="shared" si="2"/>
        <v>2.4866112894073726</v>
      </c>
      <c r="N54" s="1020">
        <f t="shared" si="3"/>
        <v>2.4866112894073726</v>
      </c>
      <c r="O54" s="1095"/>
      <c r="P54" s="1066">
        <f t="shared" si="5"/>
        <v>0</v>
      </c>
      <c r="Q54" s="1067">
        <f t="shared" si="6"/>
        <v>34</v>
      </c>
    </row>
    <row r="55" spans="1:17" s="1041" customFormat="1" ht="12.75" customHeight="1" x14ac:dyDescent="0.3">
      <c r="A55" s="1042"/>
      <c r="D55" s="1072"/>
      <c r="G55" s="1072"/>
      <c r="J55" s="1098"/>
      <c r="K55" s="1048"/>
      <c r="L55" s="1002">
        <f t="shared" si="4"/>
        <v>86</v>
      </c>
      <c r="M55" s="1020">
        <f t="shared" si="2"/>
        <v>2.53634351519552</v>
      </c>
      <c r="N55" s="1020">
        <f t="shared" si="3"/>
        <v>2.53634351519552</v>
      </c>
      <c r="O55" s="1095"/>
      <c r="P55" s="1066">
        <f t="shared" si="5"/>
        <v>0</v>
      </c>
      <c r="Q55" s="1067">
        <f t="shared" si="6"/>
        <v>35</v>
      </c>
    </row>
    <row r="56" spans="1:17" s="1041" customFormat="1" ht="12.75" customHeight="1" x14ac:dyDescent="0.3">
      <c r="A56" s="1099"/>
      <c r="D56" s="1072"/>
      <c r="G56" s="1072"/>
      <c r="J56" s="1072"/>
      <c r="K56" s="1048"/>
      <c r="L56" s="1002">
        <f t="shared" si="4"/>
        <v>87</v>
      </c>
      <c r="M56" s="1020">
        <f t="shared" si="2"/>
        <v>2.5870703854994304</v>
      </c>
      <c r="N56" s="1020">
        <f t="shared" si="3"/>
        <v>2.5870703854994304</v>
      </c>
      <c r="O56" s="1095"/>
      <c r="P56" s="1066">
        <f t="shared" si="5"/>
        <v>0</v>
      </c>
      <c r="Q56" s="1067">
        <f t="shared" si="6"/>
        <v>36</v>
      </c>
    </row>
    <row r="57" spans="1:17" s="1041" customFormat="1" ht="12.75" customHeight="1" x14ac:dyDescent="0.3">
      <c r="K57" s="1048"/>
      <c r="L57" s="1002">
        <f t="shared" si="4"/>
        <v>88</v>
      </c>
      <c r="M57" s="1020">
        <f t="shared" si="2"/>
        <v>2.6388117932094191</v>
      </c>
      <c r="N57" s="1020">
        <f t="shared" si="3"/>
        <v>2.6388117932094191</v>
      </c>
      <c r="O57" s="1100"/>
      <c r="P57" s="1066">
        <f t="shared" si="5"/>
        <v>0</v>
      </c>
      <c r="Q57" s="1067">
        <f t="shared" si="6"/>
        <v>37</v>
      </c>
    </row>
    <row r="58" spans="1:17" s="1041" customFormat="1" ht="12.75" customHeight="1" x14ac:dyDescent="0.3">
      <c r="A58" s="1099"/>
      <c r="G58" s="1072"/>
      <c r="J58" s="1072"/>
      <c r="K58" s="1048"/>
      <c r="L58" s="1002">
        <f t="shared" si="4"/>
        <v>89</v>
      </c>
      <c r="M58" s="1020">
        <f t="shared" si="2"/>
        <v>2.6915880290736074</v>
      </c>
      <c r="N58" s="1020">
        <f t="shared" si="3"/>
        <v>2.6915880290736074</v>
      </c>
      <c r="O58" s="1105"/>
      <c r="P58" s="1066">
        <f t="shared" si="5"/>
        <v>0</v>
      </c>
      <c r="Q58" s="1067">
        <f t="shared" si="6"/>
        <v>38</v>
      </c>
    </row>
    <row r="59" spans="1:17" s="1041" customFormat="1" ht="12.75" customHeight="1" x14ac:dyDescent="0.3">
      <c r="A59" s="1101"/>
      <c r="B59" s="1102"/>
      <c r="C59" s="1102"/>
      <c r="D59" s="1102"/>
      <c r="E59" s="1103"/>
      <c r="F59" s="1103"/>
      <c r="G59" s="1104"/>
      <c r="H59" s="1103"/>
      <c r="I59" s="1103"/>
      <c r="J59" s="1104"/>
      <c r="K59" s="1048"/>
      <c r="L59" s="1002">
        <f t="shared" si="4"/>
        <v>90</v>
      </c>
      <c r="M59" s="1020">
        <f t="shared" si="2"/>
        <v>2.7454197896550796</v>
      </c>
      <c r="N59" s="1020">
        <f t="shared" si="3"/>
        <v>2.7454197896550796</v>
      </c>
      <c r="O59" s="1105"/>
      <c r="P59" s="1066">
        <f t="shared" si="5"/>
        <v>0</v>
      </c>
      <c r="Q59" s="1067">
        <f t="shared" si="6"/>
        <v>39</v>
      </c>
    </row>
    <row r="60" spans="1:17" s="1041" customFormat="1" ht="12.75" customHeight="1" x14ac:dyDescent="0.3">
      <c r="A60" s="1039"/>
      <c r="G60" s="1072"/>
      <c r="J60" s="1072"/>
      <c r="K60" s="1048"/>
      <c r="L60" s="1002">
        <f t="shared" si="4"/>
        <v>91</v>
      </c>
      <c r="M60" s="1020">
        <f t="shared" si="2"/>
        <v>2.8003281854481812</v>
      </c>
      <c r="N60" s="1020">
        <f t="shared" si="3"/>
        <v>2.8003281854481812</v>
      </c>
      <c r="O60" s="1105"/>
      <c r="P60" s="1066">
        <f t="shared" si="5"/>
        <v>0</v>
      </c>
      <c r="Q60" s="1067">
        <f t="shared" si="6"/>
        <v>40</v>
      </c>
    </row>
    <row r="61" spans="1:17" s="1041" customFormat="1" ht="12.75" customHeight="1" x14ac:dyDescent="0.25">
      <c r="A61" s="1068"/>
      <c r="B61" s="1106"/>
      <c r="C61" s="1106"/>
      <c r="D61" s="1106"/>
      <c r="E61" s="1106"/>
      <c r="F61" s="1106"/>
      <c r="G61" s="1107"/>
      <c r="H61" s="1106"/>
      <c r="I61" s="1106"/>
      <c r="J61" s="1108"/>
      <c r="K61" s="1110"/>
      <c r="L61" s="1001"/>
      <c r="M61" s="1001"/>
      <c r="N61" s="1001"/>
      <c r="O61" s="1105"/>
      <c r="P61" s="1105"/>
    </row>
    <row r="62" spans="1:17" s="1041" customFormat="1" ht="12.75" customHeight="1" x14ac:dyDescent="0.25">
      <c r="A62" s="1109"/>
      <c r="B62" s="1106"/>
      <c r="C62" s="1106"/>
      <c r="D62" s="1106"/>
      <c r="E62" s="1106"/>
      <c r="F62" s="1106"/>
      <c r="G62" s="1107"/>
      <c r="H62" s="1106"/>
      <c r="I62" s="1106"/>
      <c r="J62" s="1108"/>
      <c r="K62" s="1110"/>
      <c r="O62" s="1105"/>
      <c r="P62" s="1105"/>
    </row>
    <row r="63" spans="1:17" s="1041" customFormat="1" ht="12.75" customHeight="1" x14ac:dyDescent="0.25">
      <c r="A63" s="1109"/>
      <c r="B63" s="1106"/>
      <c r="C63" s="1106"/>
      <c r="D63" s="1106"/>
      <c r="E63" s="1106"/>
      <c r="F63" s="1106"/>
      <c r="G63" s="1107"/>
      <c r="H63" s="1106"/>
      <c r="I63" s="1106"/>
      <c r="J63" s="1108"/>
      <c r="K63" s="1048"/>
      <c r="O63" s="1105"/>
      <c r="P63" s="1105"/>
    </row>
    <row r="64" spans="1:17" s="1041" customFormat="1" ht="12.75" customHeight="1" x14ac:dyDescent="0.25">
      <c r="A64" s="1109"/>
      <c r="G64" s="1072"/>
      <c r="J64" s="1072"/>
      <c r="K64" s="1110"/>
      <c r="O64" s="998"/>
      <c r="P64" s="998"/>
    </row>
    <row r="65" spans="1:16" s="1041" customFormat="1" ht="12.75" customHeight="1" x14ac:dyDescent="0.25">
      <c r="A65" s="1068"/>
      <c r="B65" s="1111"/>
      <c r="C65" s="1111"/>
      <c r="D65" s="1111"/>
      <c r="E65" s="1111"/>
      <c r="F65" s="1111"/>
      <c r="G65" s="1111"/>
      <c r="H65" s="1111"/>
      <c r="I65" s="1111"/>
      <c r="J65" s="1111"/>
      <c r="K65" s="1048"/>
      <c r="O65" s="998"/>
      <c r="P65" s="998"/>
    </row>
    <row r="66" spans="1:16" s="1041" customFormat="1" x14ac:dyDescent="0.25">
      <c r="A66" s="1111"/>
      <c r="B66" s="1111"/>
      <c r="C66" s="1111"/>
      <c r="D66" s="1111"/>
      <c r="E66" s="1111"/>
      <c r="F66" s="1111"/>
      <c r="G66" s="1111"/>
      <c r="H66" s="1111"/>
      <c r="I66" s="1111"/>
      <c r="J66" s="1111"/>
      <c r="K66" s="1048"/>
      <c r="O66" s="998"/>
      <c r="P66" s="998"/>
    </row>
    <row r="67" spans="1:16" s="1041" customFormat="1" x14ac:dyDescent="0.25">
      <c r="A67" s="1111"/>
      <c r="B67" s="1111"/>
      <c r="C67" s="1111"/>
      <c r="D67" s="1111"/>
      <c r="E67" s="1111"/>
      <c r="F67" s="1111"/>
      <c r="G67" s="1111"/>
      <c r="H67" s="1111"/>
      <c r="I67" s="1111"/>
      <c r="J67" s="1111"/>
      <c r="K67" s="1048"/>
      <c r="O67" s="998"/>
      <c r="P67" s="998"/>
    </row>
    <row r="68" spans="1:16" s="1041" customFormat="1" ht="13.5" customHeight="1" x14ac:dyDescent="0.25">
      <c r="A68" s="1111"/>
      <c r="B68" s="1112"/>
      <c r="C68" s="1112"/>
      <c r="D68" s="1112"/>
      <c r="E68" s="1112"/>
      <c r="F68" s="1112"/>
      <c r="G68" s="1112"/>
      <c r="H68" s="1112"/>
      <c r="I68" s="1112"/>
      <c r="J68" s="1112"/>
      <c r="K68" s="1048"/>
      <c r="O68" s="998"/>
      <c r="P68" s="998"/>
    </row>
    <row r="69" spans="1:16" x14ac:dyDescent="0.25">
      <c r="A69" s="1112"/>
      <c r="B69" s="1112"/>
      <c r="C69" s="1112"/>
      <c r="D69" s="1112"/>
      <c r="E69" s="1112"/>
      <c r="F69" s="1112"/>
      <c r="G69" s="1112"/>
      <c r="H69" s="1112"/>
      <c r="I69" s="1112"/>
      <c r="J69" s="1112"/>
    </row>
    <row r="70" spans="1:16" x14ac:dyDescent="0.25">
      <c r="A70" s="1112"/>
      <c r="B70" s="1041"/>
      <c r="C70" s="1041"/>
      <c r="D70" s="1041"/>
      <c r="E70" s="1041"/>
      <c r="F70" s="1041"/>
      <c r="G70" s="1072"/>
      <c r="H70" s="1041"/>
      <c r="I70" s="1041"/>
      <c r="J70" s="1041"/>
    </row>
    <row r="71" spans="1:16" x14ac:dyDescent="0.25">
      <c r="A71" s="1041"/>
      <c r="B71" s="1041"/>
      <c r="C71" s="1041"/>
      <c r="D71" s="1041"/>
      <c r="E71" s="1041"/>
      <c r="F71" s="1041"/>
      <c r="G71" s="1072"/>
      <c r="H71" s="1041"/>
      <c r="I71" s="1041"/>
      <c r="J71" s="1041"/>
    </row>
    <row r="72" spans="1:16" x14ac:dyDescent="0.25">
      <c r="A72" s="1041" t="str">
        <f>IF(AND(Input!E88&lt;&gt;"",Input!E89&lt;&gt;""),CONCATENATE("Für Sie zuständig: ",Input!E88,", ","Tel. ",Input!E89,"."),IF(Input!E88&lt;&gt;"",CONCATENATE("Für Sie zuständig: ",Input!E88,"."),""))</f>
        <v/>
      </c>
      <c r="B72" s="1041"/>
      <c r="C72" s="1041"/>
      <c r="D72" s="1041"/>
      <c r="E72" s="1041"/>
      <c r="F72" s="1041"/>
      <c r="G72" s="1072"/>
      <c r="H72" s="1041"/>
      <c r="I72" s="1041"/>
      <c r="J72" s="1041"/>
    </row>
    <row r="73" spans="1:16" x14ac:dyDescent="0.25">
      <c r="A73" s="1068"/>
    </row>
    <row r="76" spans="1:16" x14ac:dyDescent="0.25">
      <c r="F76" s="1114"/>
    </row>
  </sheetData>
  <sheetProtection algorithmName="SHA-512" hashValue="yYQfjNyFWM2ENljtL1MvasZR1wvmttWNZg+OaywRaAB/l78OHUJuRYrczg5bvX0yXpMS2jf+jd1HJJQAAOIhLA==" saltValue="ur9dHCF0z/dQwlCrmKua9Q==" spinCount="100000" sheet="1" objects="1" scenarios="1" selectLockedCells="1"/>
  <mergeCells count="3">
    <mergeCell ref="A5:J5"/>
    <mergeCell ref="A8:J8"/>
    <mergeCell ref="F10:G10"/>
  </mergeCells>
  <conditionalFormatting sqref="A8:J8">
    <cfRule type="cellIs" dxfId="14" priority="1" stopIfTrue="1" operator="notEqual">
      <formula>""</formula>
    </cfRule>
  </conditionalFormatting>
  <conditionalFormatting sqref="J26">
    <cfRule type="expression" dxfId="13" priority="2" stopIfTrue="1">
      <formula>#REF!=1</formula>
    </cfRule>
  </conditionalFormatting>
  <conditionalFormatting sqref="D23:J23 C24">
    <cfRule type="expression" dxfId="12" priority="3" stopIfTrue="1">
      <formula>#REF!=1</formula>
    </cfRule>
  </conditionalFormatting>
  <conditionalFormatting sqref="D24:J24 C25">
    <cfRule type="expression" dxfId="11" priority="4" stopIfTrue="1">
      <formula>#REF!=1</formula>
    </cfRule>
  </conditionalFormatting>
  <conditionalFormatting sqref="D25:J25">
    <cfRule type="expression" dxfId="10" priority="5" stopIfTrue="1">
      <formula>#REF!=1</formula>
    </cfRule>
  </conditionalFormatting>
  <pageMargins left="0.51181102362204722" right="0.51181102362204722" top="0.39370078740157483" bottom="0.3937007874015748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fitToPage="1"/>
  </sheetPr>
  <dimension ref="A1:IV285"/>
  <sheetViews>
    <sheetView showGridLines="0" zoomScale="130" zoomScaleNormal="130" workbookViewId="0">
      <selection activeCell="D3" sqref="D3:E3"/>
    </sheetView>
  </sheetViews>
  <sheetFormatPr baseColWidth="10" defaultRowHeight="13.2" x14ac:dyDescent="0.25"/>
  <cols>
    <col min="1" max="1" width="5.44140625" customWidth="1"/>
    <col min="8" max="9" width="10.109375" customWidth="1"/>
  </cols>
  <sheetData>
    <row r="1" spans="1:256" ht="15.6" x14ac:dyDescent="0.3">
      <c r="A1" s="1411" t="str">
        <f>IF(J3=1,"BITTE TABELLENBLATT 'ARBEITGEBER' AUSFÜLLEN!","")</f>
        <v/>
      </c>
      <c r="B1" s="1411"/>
      <c r="C1" s="1411"/>
      <c r="D1" s="1411"/>
      <c r="E1" s="1411"/>
      <c r="F1" s="1411"/>
      <c r="G1" s="1411"/>
      <c r="H1" s="1411"/>
      <c r="I1" s="1411"/>
    </row>
    <row r="3" spans="1:256" x14ac:dyDescent="0.25">
      <c r="A3" s="727" t="s">
        <v>56</v>
      </c>
      <c r="D3" s="1428" t="s">
        <v>78</v>
      </c>
      <c r="E3" s="1428"/>
      <c r="J3" s="755">
        <f>Input!K5</f>
        <v>2</v>
      </c>
    </row>
    <row r="4" spans="1:256" ht="38.25" customHeight="1" x14ac:dyDescent="0.25">
      <c r="A4" s="988"/>
    </row>
    <row r="5" spans="1:256" ht="19.5" customHeight="1" x14ac:dyDescent="0.25">
      <c r="A5" s="1426" t="s">
        <v>1275</v>
      </c>
      <c r="B5" s="1426"/>
      <c r="C5" s="1426"/>
      <c r="D5" s="1426"/>
      <c r="E5" s="1426"/>
      <c r="F5" s="1426"/>
      <c r="G5" s="1426"/>
      <c r="H5" s="1426"/>
      <c r="I5" s="1426"/>
    </row>
    <row r="6" spans="1:256" ht="12.75" customHeight="1" x14ac:dyDescent="0.25">
      <c r="A6" s="1412"/>
      <c r="B6" s="1412"/>
      <c r="C6" s="1412"/>
      <c r="D6" s="1412"/>
      <c r="E6" s="1412"/>
      <c r="F6" s="1412"/>
      <c r="G6" s="1412"/>
      <c r="H6" s="1412"/>
    </row>
    <row r="7" spans="1:256" ht="12.75" customHeight="1" x14ac:dyDescent="0.25">
      <c r="A7" s="739" t="s">
        <v>1140</v>
      </c>
      <c r="B7" s="1423" t="s">
        <v>612</v>
      </c>
      <c r="C7" s="1423"/>
      <c r="D7" s="1423"/>
      <c r="E7" s="1423"/>
      <c r="F7" s="1423"/>
      <c r="G7" s="1423"/>
      <c r="H7" s="1423"/>
      <c r="I7" s="1423"/>
      <c r="J7" s="1422"/>
      <c r="K7" s="1422"/>
      <c r="L7" s="1422"/>
      <c r="M7" s="1422"/>
      <c r="N7" s="1422"/>
      <c r="O7" s="1422"/>
      <c r="P7" s="1422"/>
      <c r="Q7" s="726"/>
      <c r="R7" s="1422"/>
      <c r="S7" s="1422"/>
      <c r="T7" s="1422"/>
      <c r="U7" s="1422"/>
      <c r="V7" s="1422"/>
      <c r="W7" s="1422"/>
      <c r="X7" s="1422"/>
      <c r="Y7" s="726"/>
      <c r="Z7" s="1422"/>
      <c r="AA7" s="1422"/>
      <c r="AB7" s="1422"/>
      <c r="AC7" s="1422"/>
      <c r="AD7" s="1422"/>
      <c r="AE7" s="1422"/>
      <c r="AF7" s="1422"/>
      <c r="AG7" s="726"/>
      <c r="AH7" s="1422"/>
      <c r="AI7" s="1422"/>
      <c r="AJ7" s="1422"/>
      <c r="AK7" s="1422"/>
      <c r="AL7" s="1422"/>
      <c r="AM7" s="1422"/>
      <c r="AN7" s="1422"/>
      <c r="AO7" s="726"/>
      <c r="AP7" s="1422"/>
      <c r="AQ7" s="1422"/>
      <c r="AR7" s="1422"/>
      <c r="AS7" s="1422"/>
      <c r="AT7" s="1422"/>
      <c r="AU7" s="1422"/>
      <c r="AV7" s="1422"/>
      <c r="AW7" s="726"/>
      <c r="AX7" s="1422"/>
      <c r="AY7" s="1422"/>
      <c r="AZ7" s="1422"/>
      <c r="BA7" s="1422"/>
      <c r="BB7" s="1422"/>
      <c r="BC7" s="1422"/>
      <c r="BD7" s="1422"/>
      <c r="BE7" s="726"/>
      <c r="BF7" s="1422"/>
      <c r="BG7" s="1422"/>
      <c r="BH7" s="1422"/>
      <c r="BI7" s="1422"/>
      <c r="BJ7" s="1422"/>
      <c r="BK7" s="1422"/>
      <c r="BL7" s="1422"/>
      <c r="BM7" s="726"/>
      <c r="BN7" s="1422"/>
      <c r="BO7" s="1422"/>
      <c r="BP7" s="1422"/>
      <c r="BQ7" s="1422"/>
      <c r="BR7" s="1422"/>
      <c r="BS7" s="1422"/>
      <c r="BT7" s="1422"/>
      <c r="BU7" s="726"/>
      <c r="BV7" s="1422"/>
      <c r="BW7" s="1422"/>
      <c r="BX7" s="1422"/>
      <c r="BY7" s="1422"/>
      <c r="BZ7" s="1422"/>
      <c r="CA7" s="1422"/>
      <c r="CB7" s="1422"/>
      <c r="CC7" s="726"/>
      <c r="CD7" s="1422"/>
      <c r="CE7" s="1422"/>
      <c r="CF7" s="1422"/>
      <c r="CG7" s="1422"/>
      <c r="CH7" s="1422"/>
      <c r="CI7" s="1422"/>
      <c r="CJ7" s="1422"/>
      <c r="CK7" s="726"/>
      <c r="CL7" s="1422"/>
      <c r="CM7" s="1422"/>
      <c r="CN7" s="1422"/>
      <c r="CO7" s="1422"/>
      <c r="CP7" s="1422"/>
      <c r="CQ7" s="1422"/>
      <c r="CR7" s="1422"/>
      <c r="CS7" s="726"/>
      <c r="CT7" s="1422"/>
      <c r="CU7" s="1422"/>
      <c r="CV7" s="1422"/>
      <c r="CW7" s="1422"/>
      <c r="CX7" s="1422"/>
      <c r="CY7" s="1422"/>
      <c r="CZ7" s="1422"/>
      <c r="DA7" s="726"/>
      <c r="DB7" s="1422"/>
      <c r="DC7" s="1422"/>
      <c r="DD7" s="1422"/>
      <c r="DE7" s="1422"/>
      <c r="DF7" s="1422"/>
      <c r="DG7" s="1422"/>
      <c r="DH7" s="1422"/>
      <c r="DI7" s="726"/>
      <c r="DJ7" s="1422"/>
      <c r="DK7" s="1422"/>
      <c r="DL7" s="1422"/>
      <c r="DM7" s="1422"/>
      <c r="DN7" s="1422"/>
      <c r="DO7" s="1422"/>
      <c r="DP7" s="1422"/>
      <c r="DQ7" s="726"/>
      <c r="DR7" s="1422"/>
      <c r="DS7" s="1422"/>
      <c r="DT7" s="1422"/>
      <c r="DU7" s="1422"/>
      <c r="DV7" s="1422"/>
      <c r="DW7" s="1422"/>
      <c r="DX7" s="1422"/>
      <c r="DY7" s="726"/>
      <c r="DZ7" s="1422"/>
      <c r="EA7" s="1422"/>
      <c r="EB7" s="1422"/>
      <c r="EC7" s="1422"/>
      <c r="ED7" s="1422"/>
      <c r="EE7" s="1422"/>
      <c r="EF7" s="1422"/>
      <c r="EG7" s="726"/>
      <c r="EH7" s="1422"/>
      <c r="EI7" s="1422"/>
      <c r="EJ7" s="1422"/>
      <c r="EK7" s="1422"/>
      <c r="EL7" s="1422"/>
      <c r="EM7" s="1422"/>
      <c r="EN7" s="1422"/>
      <c r="EO7" s="726"/>
      <c r="EP7" s="1422"/>
      <c r="EQ7" s="1422"/>
      <c r="ER7" s="1422"/>
      <c r="ES7" s="1422"/>
      <c r="ET7" s="1422"/>
      <c r="EU7" s="1422"/>
      <c r="EV7" s="1422"/>
      <c r="EW7" s="726"/>
      <c r="EX7" s="1422"/>
      <c r="EY7" s="1422"/>
      <c r="EZ7" s="1422"/>
      <c r="FA7" s="1422"/>
      <c r="FB7" s="1422"/>
      <c r="FC7" s="1422"/>
      <c r="FD7" s="1422"/>
      <c r="FE7" s="726"/>
      <c r="FF7" s="1422"/>
      <c r="FG7" s="1422"/>
      <c r="FH7" s="1422"/>
      <c r="FI7" s="1422"/>
      <c r="FJ7" s="1422"/>
      <c r="FK7" s="1422"/>
      <c r="FL7" s="1422"/>
      <c r="FM7" s="726"/>
      <c r="FN7" s="1422"/>
      <c r="FO7" s="1422"/>
      <c r="FP7" s="1422"/>
      <c r="FQ7" s="1422"/>
      <c r="FR7" s="1422"/>
      <c r="FS7" s="1422"/>
      <c r="FT7" s="1422"/>
      <c r="FU7" s="726"/>
      <c r="FV7" s="1422"/>
      <c r="FW7" s="1422"/>
      <c r="FX7" s="1422"/>
      <c r="FY7" s="1422"/>
      <c r="FZ7" s="1422"/>
      <c r="GA7" s="1422"/>
      <c r="GB7" s="1422"/>
      <c r="GC7" s="726"/>
      <c r="GD7" s="1422"/>
      <c r="GE7" s="1422"/>
      <c r="GF7" s="1422"/>
      <c r="GG7" s="1422"/>
      <c r="GH7" s="1422"/>
      <c r="GI7" s="1422"/>
      <c r="GJ7" s="1422"/>
      <c r="GK7" s="726"/>
      <c r="GL7" s="1422"/>
      <c r="GM7" s="1422"/>
      <c r="GN7" s="1422"/>
      <c r="GO7" s="1422"/>
      <c r="GP7" s="1422"/>
      <c r="GQ7" s="1422"/>
      <c r="GR7" s="1422"/>
      <c r="GS7" s="726"/>
      <c r="GT7" s="1422"/>
      <c r="GU7" s="1422"/>
      <c r="GV7" s="1422"/>
      <c r="GW7" s="1422"/>
      <c r="GX7" s="1422"/>
      <c r="GY7" s="1422"/>
      <c r="GZ7" s="1422"/>
      <c r="HA7" s="726"/>
      <c r="HB7" s="1422"/>
      <c r="HC7" s="1422"/>
      <c r="HD7" s="1422"/>
      <c r="HE7" s="1422"/>
      <c r="HF7" s="1422"/>
      <c r="HG7" s="1422"/>
      <c r="HH7" s="1422"/>
      <c r="HI7" s="726"/>
      <c r="HJ7" s="1422"/>
      <c r="HK7" s="1422"/>
      <c r="HL7" s="1422"/>
      <c r="HM7" s="1422"/>
      <c r="HN7" s="1422"/>
      <c r="HO7" s="1422"/>
      <c r="HP7" s="1422"/>
      <c r="HQ7" s="726"/>
      <c r="HR7" s="1422"/>
      <c r="HS7" s="1422"/>
      <c r="HT7" s="1422"/>
      <c r="HU7" s="1422"/>
      <c r="HV7" s="1422"/>
      <c r="HW7" s="1422"/>
      <c r="HX7" s="1422"/>
      <c r="HY7" s="726"/>
      <c r="HZ7" s="1422"/>
      <c r="IA7" s="1422"/>
      <c r="IB7" s="1422"/>
      <c r="IC7" s="1422"/>
      <c r="ID7" s="1422"/>
      <c r="IE7" s="1422"/>
      <c r="IF7" s="1422"/>
      <c r="IG7" s="726"/>
      <c r="IH7" s="1422"/>
      <c r="II7" s="1422"/>
      <c r="IJ7" s="1422"/>
      <c r="IK7" s="1422"/>
      <c r="IL7" s="1422"/>
      <c r="IM7" s="1422"/>
      <c r="IN7" s="1422"/>
      <c r="IO7" s="726"/>
      <c r="IP7" s="1422"/>
      <c r="IQ7" s="1422"/>
      <c r="IR7" s="1422"/>
      <c r="IS7" s="1422"/>
      <c r="IT7" s="1422"/>
      <c r="IU7" s="1422"/>
      <c r="IV7" s="1422"/>
    </row>
    <row r="8" spans="1:256" ht="6.75" customHeight="1" x14ac:dyDescent="0.25">
      <c r="A8" s="1413"/>
      <c r="B8" s="1414"/>
      <c r="C8" s="1414"/>
      <c r="D8" s="1414"/>
      <c r="E8" s="1414"/>
      <c r="F8" s="1414"/>
      <c r="G8" s="1414"/>
      <c r="H8" s="1414"/>
    </row>
    <row r="9" spans="1:256" ht="73.5" customHeight="1" x14ac:dyDescent="0.25">
      <c r="A9" s="1424" t="s">
        <v>2083</v>
      </c>
      <c r="B9" s="1419"/>
      <c r="C9" s="1419"/>
      <c r="D9" s="1419"/>
      <c r="E9" s="1419"/>
      <c r="F9" s="1419"/>
      <c r="G9" s="1419"/>
      <c r="H9" s="1419"/>
      <c r="I9" s="1419"/>
    </row>
    <row r="10" spans="1:256" ht="7.5" customHeight="1" x14ac:dyDescent="0.25">
      <c r="A10" s="1412"/>
      <c r="B10" s="1412"/>
      <c r="C10" s="1412"/>
      <c r="D10" s="1412"/>
      <c r="E10" s="1412"/>
      <c r="F10" s="1412"/>
      <c r="G10" s="1412"/>
      <c r="H10" s="1412"/>
    </row>
    <row r="11" spans="1:256" ht="12.75" customHeight="1" x14ac:dyDescent="0.25">
      <c r="A11" s="739" t="s">
        <v>1138</v>
      </c>
      <c r="B11" s="1423" t="s">
        <v>613</v>
      </c>
      <c r="C11" s="1423"/>
      <c r="D11" s="1423"/>
      <c r="E11" s="1423"/>
      <c r="F11" s="1423"/>
      <c r="G11" s="1423"/>
      <c r="H11" s="1423"/>
      <c r="I11" s="1423"/>
    </row>
    <row r="12" spans="1:256" ht="6.75" customHeight="1" x14ac:dyDescent="0.25">
      <c r="A12" s="1413"/>
      <c r="B12" s="1413"/>
      <c r="C12" s="1413"/>
      <c r="D12" s="1413"/>
      <c r="E12" s="1413"/>
      <c r="F12" s="1413"/>
      <c r="G12" s="1413"/>
      <c r="H12" s="1413"/>
    </row>
    <row r="13" spans="1:256" ht="36.75" customHeight="1" x14ac:dyDescent="0.25">
      <c r="A13" s="1419" t="s">
        <v>614</v>
      </c>
      <c r="B13" s="1419"/>
      <c r="C13" s="1419"/>
      <c r="D13" s="1419"/>
      <c r="E13" s="1419"/>
      <c r="F13" s="1419"/>
      <c r="G13" s="1419"/>
      <c r="H13" s="1419"/>
      <c r="I13" s="1419"/>
    </row>
    <row r="14" spans="1:256" ht="7.5" customHeight="1" x14ac:dyDescent="0.25">
      <c r="A14" s="1419"/>
      <c r="B14" s="1419"/>
      <c r="C14" s="1419"/>
      <c r="D14" s="1419"/>
      <c r="E14" s="1419"/>
      <c r="F14" s="1419"/>
      <c r="G14" s="1419"/>
      <c r="H14" s="1419"/>
    </row>
    <row r="15" spans="1:256" ht="12.75" customHeight="1" x14ac:dyDescent="0.25">
      <c r="A15" s="739" t="s">
        <v>1139</v>
      </c>
      <c r="B15" s="1423" t="s">
        <v>616</v>
      </c>
      <c r="C15" s="1423"/>
      <c r="D15" s="1423"/>
      <c r="E15" s="1423"/>
      <c r="F15" s="1423"/>
      <c r="G15" s="1423"/>
      <c r="H15" s="1423"/>
      <c r="I15" s="1423"/>
    </row>
    <row r="16" spans="1:256" ht="6.75" customHeight="1" x14ac:dyDescent="0.25">
      <c r="A16" s="1413"/>
      <c r="B16" s="1413"/>
      <c r="C16" s="1413"/>
      <c r="D16" s="1413"/>
      <c r="E16" s="1413"/>
      <c r="F16" s="1413"/>
      <c r="G16" s="1413"/>
      <c r="H16" s="1413"/>
    </row>
    <row r="17" spans="1:9" ht="49.5" customHeight="1" x14ac:dyDescent="0.25">
      <c r="A17" s="1424" t="s">
        <v>2088</v>
      </c>
      <c r="B17" s="1424"/>
      <c r="C17" s="1424"/>
      <c r="D17" s="1424"/>
      <c r="E17" s="1424"/>
      <c r="F17" s="1424"/>
      <c r="G17" s="1424"/>
      <c r="H17" s="1424"/>
      <c r="I17" s="1424"/>
    </row>
    <row r="18" spans="1:9" ht="7.5" customHeight="1" x14ac:dyDescent="0.25">
      <c r="A18" s="1419"/>
      <c r="B18" s="1419"/>
      <c r="C18" s="1419"/>
      <c r="D18" s="1419"/>
      <c r="E18" s="1419"/>
      <c r="F18" s="1419"/>
      <c r="G18" s="1419"/>
      <c r="H18" s="1419"/>
    </row>
    <row r="19" spans="1:9" ht="12.75" customHeight="1" x14ac:dyDescent="0.25">
      <c r="A19" s="739" t="s">
        <v>1143</v>
      </c>
      <c r="B19" s="1423" t="s">
        <v>615</v>
      </c>
      <c r="C19" s="1423"/>
      <c r="D19" s="1423"/>
      <c r="E19" s="1423"/>
      <c r="F19" s="1423"/>
      <c r="G19" s="1423"/>
      <c r="H19" s="1423"/>
      <c r="I19" s="1423"/>
    </row>
    <row r="20" spans="1:9" ht="6.75" customHeight="1" x14ac:dyDescent="0.25">
      <c r="A20" s="1413"/>
      <c r="B20" s="1413"/>
      <c r="C20" s="1413"/>
      <c r="D20" s="1413"/>
      <c r="E20" s="1413"/>
      <c r="F20" s="1413"/>
      <c r="G20" s="1413"/>
      <c r="H20" s="1413"/>
    </row>
    <row r="21" spans="1:9" ht="109.5" customHeight="1" x14ac:dyDescent="0.25">
      <c r="A21" s="1424" t="s">
        <v>2087</v>
      </c>
      <c r="B21" s="1424"/>
      <c r="C21" s="1424"/>
      <c r="D21" s="1424"/>
      <c r="E21" s="1424"/>
      <c r="F21" s="1424"/>
      <c r="G21" s="1424"/>
      <c r="H21" s="1424"/>
      <c r="I21" s="1424"/>
    </row>
    <row r="22" spans="1:9" ht="7.5" customHeight="1" x14ac:dyDescent="0.25">
      <c r="A22" s="1419"/>
      <c r="B22" s="1419"/>
      <c r="C22" s="1419"/>
      <c r="D22" s="1419"/>
      <c r="E22" s="1419"/>
      <c r="F22" s="1419"/>
      <c r="G22" s="1419"/>
      <c r="H22" s="1419"/>
    </row>
    <row r="23" spans="1:9" ht="12.75" customHeight="1" x14ac:dyDescent="0.25">
      <c r="A23" s="739" t="s">
        <v>65</v>
      </c>
      <c r="B23" s="1423" t="s">
        <v>617</v>
      </c>
      <c r="C23" s="1423"/>
      <c r="D23" s="1423"/>
      <c r="E23" s="1423"/>
      <c r="F23" s="1423"/>
      <c r="G23" s="1423"/>
      <c r="H23" s="1423"/>
      <c r="I23" s="1423"/>
    </row>
    <row r="24" spans="1:9" ht="6.75" customHeight="1" x14ac:dyDescent="0.25">
      <c r="A24" s="1413"/>
      <c r="B24" s="1413"/>
      <c r="C24" s="1413"/>
      <c r="D24" s="1413"/>
      <c r="E24" s="1413"/>
      <c r="F24" s="1413"/>
      <c r="G24" s="1413"/>
      <c r="H24" s="1413"/>
    </row>
    <row r="25" spans="1:9" ht="133.5" customHeight="1" x14ac:dyDescent="0.25">
      <c r="A25" s="1419" t="s">
        <v>1282</v>
      </c>
      <c r="B25" s="1419"/>
      <c r="C25" s="1419"/>
      <c r="D25" s="1419"/>
      <c r="E25" s="1419"/>
      <c r="F25" s="1419"/>
      <c r="G25" s="1419"/>
      <c r="H25" s="1419"/>
      <c r="I25" s="1419"/>
    </row>
    <row r="26" spans="1:9" ht="11.25" customHeight="1" x14ac:dyDescent="0.25">
      <c r="A26" s="738" t="s">
        <v>72</v>
      </c>
      <c r="B26" s="737"/>
      <c r="C26" s="737"/>
      <c r="D26" s="737"/>
      <c r="E26" s="737"/>
      <c r="F26" s="737"/>
      <c r="G26" s="737"/>
      <c r="H26" s="737"/>
      <c r="I26" s="687"/>
    </row>
    <row r="27" spans="1:9" ht="11.25" customHeight="1" x14ac:dyDescent="0.25">
      <c r="A27" s="738" t="str">
        <f>IF(Input!K51=1,"720 Tage (ich habe die Ausführungen gemäss Absatz 2 verstanden und bin damit einverstanden)","360 Tage")</f>
        <v>720 Tage (ich habe die Ausführungen gemäss Absatz 2 verstanden und bin damit einverstanden)</v>
      </c>
      <c r="B27" s="737"/>
      <c r="C27" s="737"/>
      <c r="D27" s="737"/>
      <c r="E27" s="737"/>
      <c r="F27" s="737"/>
      <c r="G27" s="737"/>
      <c r="H27" s="737"/>
      <c r="I27" s="687"/>
    </row>
    <row r="28" spans="1:9" ht="7.5" customHeight="1" x14ac:dyDescent="0.25">
      <c r="A28" s="1419"/>
      <c r="B28" s="1419"/>
      <c r="C28" s="1419"/>
      <c r="D28" s="1419"/>
      <c r="E28" s="1419"/>
      <c r="F28" s="1419"/>
      <c r="G28" s="1419"/>
      <c r="H28" s="1419"/>
    </row>
    <row r="29" spans="1:9" ht="12.75" customHeight="1" x14ac:dyDescent="0.25">
      <c r="A29" s="739" t="s">
        <v>66</v>
      </c>
      <c r="B29" s="1423" t="s">
        <v>618</v>
      </c>
      <c r="C29" s="1423"/>
      <c r="D29" s="1423"/>
      <c r="E29" s="1423"/>
      <c r="F29" s="1423"/>
      <c r="G29" s="1423"/>
      <c r="H29" s="1423"/>
      <c r="I29" s="1423"/>
    </row>
    <row r="30" spans="1:9" ht="6.75" customHeight="1" x14ac:dyDescent="0.25">
      <c r="A30" s="1413"/>
      <c r="B30" s="1413"/>
      <c r="C30" s="1413"/>
      <c r="D30" s="1413"/>
      <c r="E30" s="1413"/>
      <c r="F30" s="1413"/>
      <c r="G30" s="1413"/>
      <c r="H30" s="1413"/>
    </row>
    <row r="31" spans="1:9" x14ac:dyDescent="0.25">
      <c r="A31" s="725" t="s">
        <v>60</v>
      </c>
      <c r="B31" s="725"/>
      <c r="C31" s="725"/>
      <c r="D31" s="725"/>
      <c r="F31" s="725" t="s">
        <v>61</v>
      </c>
      <c r="G31" s="725"/>
      <c r="H31" s="725"/>
      <c r="I31" s="725" t="s">
        <v>62</v>
      </c>
    </row>
    <row r="32" spans="1:9" ht="16.5" customHeight="1" x14ac:dyDescent="0.25">
      <c r="A32" s="1421" t="str">
        <f>CONCATENATE(Input!E8," ",Input!E9)</f>
        <v xml:space="preserve"> </v>
      </c>
      <c r="B32" s="1421"/>
      <c r="C32" s="1421"/>
      <c r="D32" s="1421"/>
      <c r="E32" s="729"/>
      <c r="F32" s="1420" t="str">
        <f>IF(Input!E10="","...........................................",Input!E10)</f>
        <v>...........................................</v>
      </c>
      <c r="G32" s="1420"/>
      <c r="I32" s="744">
        <f>Input!E11</f>
        <v>31048</v>
      </c>
    </row>
    <row r="33" spans="1:9" ht="3.75" customHeight="1" x14ac:dyDescent="0.25">
      <c r="A33" s="1419"/>
      <c r="B33" s="1419"/>
      <c r="C33" s="1419"/>
      <c r="D33" s="1419"/>
      <c r="E33" s="1419"/>
      <c r="F33" s="1419"/>
      <c r="G33" s="1419"/>
      <c r="H33" s="1419"/>
      <c r="I33" s="725"/>
    </row>
    <row r="34" spans="1:9" x14ac:dyDescent="0.25">
      <c r="A34" s="725" t="s">
        <v>59</v>
      </c>
      <c r="B34" s="725"/>
      <c r="C34" s="725"/>
      <c r="D34" s="725"/>
      <c r="E34" s="725"/>
      <c r="F34" s="725"/>
      <c r="G34" s="725"/>
      <c r="I34" s="725" t="s">
        <v>63</v>
      </c>
    </row>
    <row r="35" spans="1:9" ht="16.5" customHeight="1" x14ac:dyDescent="0.25">
      <c r="A35" s="1407" t="s">
        <v>64</v>
      </c>
      <c r="B35" s="1407"/>
      <c r="C35" s="1407"/>
      <c r="D35" s="1407"/>
      <c r="E35" s="1407"/>
      <c r="F35" s="1407"/>
      <c r="G35" s="1407"/>
      <c r="I35" s="745" t="str">
        <f>IF(Input!K3=1,"Mann","Frau")</f>
        <v>Frau</v>
      </c>
    </row>
    <row r="36" spans="1:9" ht="3" customHeight="1" x14ac:dyDescent="0.25">
      <c r="A36" s="1419"/>
      <c r="B36" s="1419"/>
      <c r="C36" s="1419"/>
      <c r="D36" s="1419"/>
      <c r="E36" s="1419"/>
      <c r="F36" s="1419"/>
      <c r="G36" s="1419"/>
      <c r="H36" s="1419"/>
      <c r="I36" s="725"/>
    </row>
    <row r="37" spans="1:9" ht="3" customHeight="1" x14ac:dyDescent="0.25">
      <c r="A37" s="1329"/>
      <c r="B37" s="1329"/>
      <c r="C37" s="1329"/>
      <c r="D37" s="1329"/>
      <c r="E37" s="1329"/>
      <c r="F37" s="1329"/>
      <c r="G37" s="1329"/>
      <c r="H37" s="1329"/>
      <c r="I37" s="725"/>
    </row>
    <row r="38" spans="1:9" ht="3" customHeight="1" x14ac:dyDescent="0.25">
      <c r="A38" s="1329"/>
      <c r="B38" s="1329"/>
      <c r="C38" s="1329"/>
      <c r="D38" s="1329"/>
      <c r="E38" s="1329"/>
      <c r="F38" s="1329"/>
      <c r="G38" s="1329"/>
      <c r="H38" s="1329"/>
      <c r="I38" s="725"/>
    </row>
    <row r="39" spans="1:9" ht="12" customHeight="1" x14ac:dyDescent="0.25">
      <c r="A39" s="1417" t="s">
        <v>3836</v>
      </c>
      <c r="B39" s="1417"/>
      <c r="C39" s="1417"/>
      <c r="D39" s="1417"/>
      <c r="E39" s="1329"/>
      <c r="F39" s="1329"/>
      <c r="G39" s="1329"/>
      <c r="H39" s="1329"/>
      <c r="I39" s="725"/>
    </row>
    <row r="40" spans="1:9" ht="16.5" customHeight="1" x14ac:dyDescent="0.25">
      <c r="A40" s="1407" t="s">
        <v>3837</v>
      </c>
      <c r="B40" s="1416"/>
      <c r="C40" s="1416"/>
      <c r="D40" s="1329"/>
      <c r="E40" s="1329"/>
      <c r="F40" s="1329"/>
      <c r="G40" s="1329"/>
      <c r="H40" s="1329"/>
      <c r="I40" s="725"/>
    </row>
    <row r="41" spans="1:9" ht="3" customHeight="1" x14ac:dyDescent="0.25">
      <c r="A41" s="1329"/>
      <c r="B41" s="1329"/>
      <c r="C41" s="1329"/>
      <c r="D41" s="1329"/>
      <c r="E41" s="1329"/>
      <c r="F41" s="1329"/>
      <c r="G41" s="1329"/>
      <c r="H41" s="1329"/>
      <c r="I41" s="725"/>
    </row>
    <row r="42" spans="1:9" ht="3" customHeight="1" x14ac:dyDescent="0.25">
      <c r="A42" s="1329"/>
      <c r="B42" s="1329"/>
      <c r="C42" s="1329"/>
      <c r="D42" s="1329"/>
      <c r="E42" s="1329"/>
      <c r="F42" s="1329"/>
      <c r="G42" s="1329"/>
      <c r="H42" s="1329"/>
      <c r="I42" s="725"/>
    </row>
    <row r="43" spans="1:9" x14ac:dyDescent="0.25">
      <c r="A43" s="725" t="s">
        <v>58</v>
      </c>
      <c r="B43" s="725"/>
      <c r="C43" s="725"/>
      <c r="D43" s="725"/>
      <c r="E43" s="725"/>
      <c r="F43" s="725"/>
      <c r="G43" s="725"/>
      <c r="H43" s="725"/>
      <c r="I43" s="725"/>
    </row>
    <row r="44" spans="1:9" x14ac:dyDescent="0.25">
      <c r="A44" s="746" t="s">
        <v>2117</v>
      </c>
      <c r="B44" s="725"/>
      <c r="C44" s="746" t="s">
        <v>2119</v>
      </c>
      <c r="D44" s="725"/>
      <c r="E44" s="746" t="s">
        <v>2122</v>
      </c>
      <c r="F44" s="746" t="s">
        <v>2120</v>
      </c>
      <c r="G44" s="746" t="s">
        <v>2121</v>
      </c>
      <c r="H44" s="725"/>
    </row>
    <row r="45" spans="1:9" s="733" customFormat="1" ht="16.5" customHeight="1" x14ac:dyDescent="0.25">
      <c r="A45" s="747" t="s">
        <v>2118</v>
      </c>
      <c r="B45" s="741"/>
      <c r="C45" s="740"/>
      <c r="D45" s="741"/>
      <c r="E45" s="747" t="s">
        <v>3868</v>
      </c>
      <c r="F45" s="740"/>
      <c r="G45" s="741"/>
      <c r="H45" s="741"/>
    </row>
    <row r="46" spans="1:9" x14ac:dyDescent="0.25">
      <c r="A46" s="725" t="s">
        <v>76</v>
      </c>
      <c r="B46" s="725"/>
      <c r="C46" s="725"/>
      <c r="D46" s="725"/>
      <c r="E46" s="725"/>
      <c r="F46" s="725"/>
      <c r="G46" s="725"/>
      <c r="H46" s="725" t="s">
        <v>77</v>
      </c>
      <c r="I46" s="725"/>
    </row>
    <row r="47" spans="1:9" ht="16.5" customHeight="1" x14ac:dyDescent="0.25">
      <c r="A47" s="1407" t="s">
        <v>64</v>
      </c>
      <c r="B47" s="1407"/>
      <c r="C47" s="1407"/>
      <c r="D47" s="1407"/>
      <c r="E47" s="1407"/>
      <c r="F47" s="1407"/>
      <c r="G47" s="1407"/>
      <c r="H47" s="1416" t="s">
        <v>57</v>
      </c>
      <c r="I47" s="1416"/>
    </row>
    <row r="48" spans="1:9" ht="16.5" customHeight="1" x14ac:dyDescent="0.25">
      <c r="A48" s="989" t="s">
        <v>3628</v>
      </c>
      <c r="B48" s="725"/>
      <c r="C48" s="725"/>
      <c r="D48" s="725"/>
      <c r="E48" s="725"/>
      <c r="F48" s="725"/>
      <c r="G48" s="725"/>
      <c r="H48" s="1235"/>
      <c r="I48" s="1235"/>
    </row>
    <row r="49" spans="1:9" ht="16.5" customHeight="1" x14ac:dyDescent="0.25">
      <c r="A49" s="1407" t="s">
        <v>64</v>
      </c>
      <c r="B49" s="1407"/>
      <c r="C49" s="1407"/>
      <c r="D49" s="1407"/>
      <c r="E49" s="1407"/>
      <c r="F49" s="1407"/>
      <c r="G49" s="1407"/>
      <c r="H49" s="1235"/>
      <c r="I49" s="1332" t="s">
        <v>73</v>
      </c>
    </row>
    <row r="50" spans="1:9" ht="22.5" customHeight="1" x14ac:dyDescent="0.25">
      <c r="A50" s="725"/>
      <c r="B50" s="725"/>
      <c r="C50" s="725"/>
      <c r="D50" s="725"/>
      <c r="E50" s="725"/>
      <c r="F50" s="725"/>
      <c r="G50" s="725"/>
      <c r="H50" s="725"/>
      <c r="I50" s="743"/>
    </row>
    <row r="51" spans="1:9" ht="12.75" customHeight="1" x14ac:dyDescent="0.25">
      <c r="A51" s="739" t="s">
        <v>67</v>
      </c>
      <c r="B51" s="1423" t="s">
        <v>619</v>
      </c>
      <c r="C51" s="1423"/>
      <c r="D51" s="1423"/>
      <c r="E51" s="1423"/>
      <c r="F51" s="1423"/>
      <c r="G51" s="1423"/>
      <c r="H51" s="1423"/>
      <c r="I51" s="1423"/>
    </row>
    <row r="52" spans="1:9" ht="6" customHeight="1" x14ac:dyDescent="0.25">
      <c r="A52" s="1413"/>
      <c r="B52" s="1413"/>
      <c r="C52" s="1413"/>
      <c r="D52" s="1413"/>
      <c r="E52" s="1413"/>
      <c r="F52" s="1413"/>
      <c r="G52" s="1413"/>
      <c r="H52" s="1413"/>
    </row>
    <row r="53" spans="1:9" ht="12.75" customHeight="1" x14ac:dyDescent="0.25">
      <c r="A53" s="730" t="s">
        <v>31</v>
      </c>
      <c r="B53" s="735" t="s">
        <v>3884</v>
      </c>
      <c r="C53" s="730"/>
      <c r="D53" s="730"/>
      <c r="E53" s="730"/>
      <c r="F53" s="746" t="s">
        <v>3838</v>
      </c>
      <c r="G53" s="730"/>
      <c r="H53" s="734"/>
      <c r="I53" s="734"/>
    </row>
    <row r="54" spans="1:9" s="733" customFormat="1" ht="16.5" customHeight="1" x14ac:dyDescent="0.25">
      <c r="A54" s="741"/>
      <c r="B54" s="736" t="s">
        <v>3885</v>
      </c>
      <c r="C54" s="741"/>
      <c r="D54" s="741"/>
      <c r="E54" s="741"/>
      <c r="F54" s="1407" t="s">
        <v>3839</v>
      </c>
      <c r="G54" s="1408"/>
      <c r="H54" s="1408"/>
      <c r="I54" s="1408"/>
    </row>
    <row r="55" spans="1:9" s="733" customFormat="1" ht="12" customHeight="1" x14ac:dyDescent="0.25">
      <c r="A55" s="741"/>
      <c r="B55" s="741"/>
      <c r="C55" s="741"/>
      <c r="D55" s="741"/>
      <c r="E55" s="741"/>
      <c r="F55" s="746" t="s">
        <v>3840</v>
      </c>
      <c r="G55" s="1330"/>
      <c r="H55" s="1330"/>
      <c r="I55" s="1330"/>
    </row>
    <row r="56" spans="1:9" s="733" customFormat="1" ht="18.75" customHeight="1" x14ac:dyDescent="0.25">
      <c r="A56" s="741"/>
      <c r="B56" s="741"/>
      <c r="C56" s="741"/>
      <c r="D56" s="741"/>
      <c r="E56" s="741"/>
      <c r="F56" s="1409" t="s">
        <v>3843</v>
      </c>
      <c r="G56" s="1410"/>
      <c r="H56" s="1410"/>
      <c r="I56" s="1410"/>
    </row>
    <row r="57" spans="1:9" s="733" customFormat="1" ht="16.5" customHeight="1" x14ac:dyDescent="0.25">
      <c r="A57" s="741"/>
      <c r="B57" s="741"/>
      <c r="C57" s="741"/>
      <c r="D57" s="741"/>
      <c r="E57" s="741"/>
      <c r="F57" s="746" t="s">
        <v>3842</v>
      </c>
      <c r="G57" s="730"/>
      <c r="H57" s="734"/>
      <c r="I57" s="734"/>
    </row>
    <row r="58" spans="1:9" s="733" customFormat="1" ht="16.5" customHeight="1" x14ac:dyDescent="0.25">
      <c r="A58" s="741"/>
      <c r="B58" s="741"/>
      <c r="C58" s="741"/>
      <c r="D58" s="741"/>
      <c r="E58" s="741"/>
      <c r="F58" s="1407" t="s">
        <v>3841</v>
      </c>
      <c r="G58" s="1408"/>
      <c r="H58" s="1408"/>
      <c r="I58" s="1408"/>
    </row>
    <row r="59" spans="1:9" ht="3" customHeight="1" x14ac:dyDescent="0.25">
      <c r="A59" s="725"/>
      <c r="B59" s="725"/>
      <c r="C59" s="725"/>
      <c r="D59" s="725"/>
      <c r="E59" s="725"/>
      <c r="F59" s="725"/>
      <c r="G59" s="725"/>
      <c r="H59" s="725"/>
    </row>
    <row r="60" spans="1:9" s="733" customFormat="1" ht="16.5" customHeight="1" x14ac:dyDescent="0.25">
      <c r="A60" s="741" t="s">
        <v>33</v>
      </c>
      <c r="B60" s="741" t="s">
        <v>34</v>
      </c>
      <c r="C60" s="741"/>
      <c r="D60" s="741"/>
      <c r="E60" s="741"/>
      <c r="F60" s="1420" t="str">
        <f>CONCATENATE("    ",TEXT(Input!E15,"T. MMMM JJJJ"))</f>
        <v xml:space="preserve">    1. Januar 2024</v>
      </c>
      <c r="G60" s="1420"/>
      <c r="H60" s="1420"/>
      <c r="I60" s="1420"/>
    </row>
    <row r="61" spans="1:9" ht="3" customHeight="1" x14ac:dyDescent="0.25">
      <c r="A61" s="725"/>
      <c r="B61" s="725"/>
      <c r="C61" s="725"/>
      <c r="D61" s="725"/>
      <c r="E61" s="725"/>
      <c r="F61" s="725"/>
      <c r="G61" s="725"/>
      <c r="H61" s="725"/>
    </row>
    <row r="62" spans="1:9" s="733" customFormat="1" ht="16.5" customHeight="1" x14ac:dyDescent="0.25">
      <c r="A62" s="741" t="s">
        <v>37</v>
      </c>
      <c r="B62" s="736" t="s">
        <v>38</v>
      </c>
      <c r="C62" s="741"/>
      <c r="D62" s="741"/>
      <c r="E62" s="741"/>
      <c r="F62" s="759" t="s">
        <v>1274</v>
      </c>
      <c r="G62" s="787">
        <f>Input!E19</f>
        <v>100000</v>
      </c>
      <c r="H62" s="761"/>
      <c r="I62" s="761"/>
    </row>
    <row r="63" spans="1:9" ht="12.75" customHeight="1" x14ac:dyDescent="0.25">
      <c r="A63" s="730"/>
      <c r="B63" s="1425" t="s">
        <v>1283</v>
      </c>
      <c r="C63" s="1425"/>
      <c r="D63" s="1425"/>
      <c r="E63" s="1425"/>
      <c r="F63" s="1425"/>
      <c r="G63" s="1425"/>
      <c r="H63" s="1425"/>
      <c r="I63" s="1425"/>
    </row>
    <row r="64" spans="1:9" ht="12.75" customHeight="1" x14ac:dyDescent="0.25">
      <c r="A64" s="730"/>
      <c r="B64" s="1425" t="s">
        <v>1284</v>
      </c>
      <c r="C64" s="1425"/>
      <c r="D64" s="1425"/>
      <c r="E64" s="1425"/>
      <c r="F64" s="1425"/>
      <c r="G64" s="1425"/>
      <c r="H64" s="1425"/>
      <c r="I64" s="1425"/>
    </row>
    <row r="65" spans="1:9" ht="3" customHeight="1" x14ac:dyDescent="0.25">
      <c r="A65" s="725"/>
      <c r="B65" s="725"/>
      <c r="C65" s="725"/>
      <c r="D65" s="725"/>
      <c r="E65" s="725"/>
      <c r="F65" s="725"/>
      <c r="G65" s="725"/>
      <c r="H65" s="725"/>
    </row>
    <row r="66" spans="1:9" s="733" customFormat="1" ht="16.5" customHeight="1" x14ac:dyDescent="0.25">
      <c r="A66" s="741" t="s">
        <v>39</v>
      </c>
      <c r="B66" s="741" t="s">
        <v>40</v>
      </c>
      <c r="C66" s="741"/>
      <c r="D66" s="741"/>
      <c r="E66" s="741"/>
      <c r="F66" s="1416" t="s">
        <v>71</v>
      </c>
      <c r="G66" s="1416"/>
      <c r="H66" s="1416"/>
      <c r="I66" s="1416"/>
    </row>
    <row r="67" spans="1:9" ht="3" customHeight="1" x14ac:dyDescent="0.25">
      <c r="A67" s="725"/>
      <c r="B67" s="725"/>
      <c r="C67" s="725"/>
      <c r="D67" s="725"/>
      <c r="E67" s="725"/>
      <c r="F67" s="725"/>
      <c r="G67" s="725"/>
      <c r="H67" s="725"/>
    </row>
    <row r="68" spans="1:9" ht="25.5" customHeight="1" x14ac:dyDescent="0.25">
      <c r="A68" s="730" t="s">
        <v>620</v>
      </c>
      <c r="B68" s="1418" t="s">
        <v>624</v>
      </c>
      <c r="C68" s="1418"/>
      <c r="D68" s="1418"/>
      <c r="E68" s="1418"/>
      <c r="F68" s="1418"/>
      <c r="G68" s="1418"/>
      <c r="H68" s="746" t="s">
        <v>2125</v>
      </c>
      <c r="I68" s="746" t="s">
        <v>2126</v>
      </c>
    </row>
    <row r="69" spans="1:9" ht="3" customHeight="1" x14ac:dyDescent="0.25">
      <c r="A69" s="725"/>
      <c r="B69" s="725"/>
      <c r="C69" s="725"/>
      <c r="D69" s="725"/>
      <c r="E69" s="725"/>
      <c r="F69" s="725"/>
      <c r="G69" s="725"/>
      <c r="H69" s="751"/>
      <c r="I69" s="752"/>
    </row>
    <row r="70" spans="1:9" ht="12.75" customHeight="1" x14ac:dyDescent="0.25">
      <c r="A70" s="730" t="s">
        <v>621</v>
      </c>
      <c r="B70" s="1415" t="s">
        <v>24</v>
      </c>
      <c r="C70" s="1415"/>
      <c r="D70" s="1415"/>
      <c r="E70" s="1415"/>
      <c r="F70" s="1415"/>
      <c r="G70" s="1415"/>
      <c r="H70" s="746" t="s">
        <v>2125</v>
      </c>
      <c r="I70" s="746" t="s">
        <v>2126</v>
      </c>
    </row>
    <row r="71" spans="1:9" ht="12.75" customHeight="1" x14ac:dyDescent="0.25">
      <c r="A71" s="730"/>
      <c r="B71" s="732" t="s">
        <v>25</v>
      </c>
      <c r="C71" s="746" t="s">
        <v>2127</v>
      </c>
      <c r="D71" s="750"/>
      <c r="E71" s="732"/>
      <c r="F71" s="746" t="s">
        <v>2128</v>
      </c>
      <c r="G71" s="732"/>
      <c r="H71" s="734"/>
      <c r="I71" s="734"/>
    </row>
    <row r="72" spans="1:9" s="733" customFormat="1" ht="16.5" customHeight="1" x14ac:dyDescent="0.25">
      <c r="A72" s="741"/>
      <c r="B72" s="1416" t="s">
        <v>35</v>
      </c>
      <c r="C72" s="1416"/>
      <c r="D72" s="1416"/>
      <c r="E72" s="1416"/>
      <c r="F72" s="1416"/>
      <c r="G72" s="1416"/>
      <c r="H72" s="1416"/>
      <c r="I72" s="1416"/>
    </row>
    <row r="73" spans="1:9" s="733" customFormat="1" ht="16.5" customHeight="1" x14ac:dyDescent="0.25">
      <c r="A73" s="741"/>
      <c r="B73" s="1416" t="s">
        <v>36</v>
      </c>
      <c r="C73" s="1416"/>
      <c r="D73" s="1416"/>
      <c r="E73" s="1416"/>
      <c r="F73" s="1416"/>
      <c r="G73" s="1416"/>
      <c r="H73" s="1416"/>
      <c r="I73" s="1416"/>
    </row>
    <row r="74" spans="1:9" ht="3" customHeight="1" x14ac:dyDescent="0.25">
      <c r="A74" s="725"/>
      <c r="B74" s="725"/>
      <c r="C74" s="725"/>
      <c r="D74" s="725"/>
      <c r="E74" s="725"/>
      <c r="F74" s="725"/>
      <c r="G74" s="725"/>
      <c r="H74" s="725"/>
    </row>
    <row r="75" spans="1:9" ht="60.75" customHeight="1" x14ac:dyDescent="0.25">
      <c r="A75" s="730" t="s">
        <v>622</v>
      </c>
      <c r="B75" s="1417" t="s">
        <v>2115</v>
      </c>
      <c r="C75" s="1415"/>
      <c r="D75" s="1415"/>
      <c r="E75" s="1415"/>
      <c r="F75" s="1415"/>
      <c r="G75" s="1415"/>
      <c r="H75" s="725"/>
    </row>
    <row r="76" spans="1:9" ht="3" customHeight="1" x14ac:dyDescent="0.25">
      <c r="A76" s="725"/>
      <c r="B76" s="725"/>
      <c r="C76" s="725"/>
      <c r="D76" s="725"/>
      <c r="E76" s="725"/>
      <c r="F76" s="725"/>
      <c r="G76" s="725"/>
      <c r="H76" s="725"/>
    </row>
    <row r="77" spans="1:9" ht="25.5" customHeight="1" x14ac:dyDescent="0.25">
      <c r="A77" s="730" t="s">
        <v>623</v>
      </c>
      <c r="B77" s="1415" t="s">
        <v>625</v>
      </c>
      <c r="C77" s="1415"/>
      <c r="D77" s="1415"/>
      <c r="E77" s="1415"/>
      <c r="F77" s="1415"/>
      <c r="G77" s="1415"/>
      <c r="H77" s="746" t="s">
        <v>2125</v>
      </c>
      <c r="I77" s="746" t="s">
        <v>2126</v>
      </c>
    </row>
    <row r="78" spans="1:9" ht="3" customHeight="1" x14ac:dyDescent="0.25">
      <c r="A78" s="725"/>
      <c r="B78" s="725"/>
      <c r="C78" s="725"/>
      <c r="D78" s="725"/>
      <c r="E78" s="725"/>
      <c r="F78" s="725"/>
      <c r="G78" s="725"/>
      <c r="H78" s="751"/>
      <c r="I78" s="752"/>
    </row>
    <row r="79" spans="1:9" ht="12.75" customHeight="1" x14ac:dyDescent="0.25">
      <c r="A79" s="730" t="s">
        <v>26</v>
      </c>
      <c r="B79" s="1415" t="s">
        <v>27</v>
      </c>
      <c r="C79" s="1415"/>
      <c r="D79" s="1415"/>
      <c r="E79" s="1415"/>
      <c r="F79" s="1415"/>
      <c r="G79" s="1415"/>
      <c r="H79" s="746" t="s">
        <v>2125</v>
      </c>
      <c r="I79" s="746" t="s">
        <v>2126</v>
      </c>
    </row>
    <row r="80" spans="1:9" ht="3" customHeight="1" x14ac:dyDescent="0.25">
      <c r="A80" s="725"/>
      <c r="B80" s="725"/>
      <c r="C80" s="725"/>
      <c r="D80" s="725"/>
      <c r="E80" s="725"/>
      <c r="F80" s="725"/>
      <c r="G80" s="725"/>
      <c r="H80" s="751"/>
      <c r="I80" s="752"/>
    </row>
    <row r="81" spans="1:9" ht="12.75" customHeight="1" x14ac:dyDescent="0.25">
      <c r="A81" s="730" t="s">
        <v>28</v>
      </c>
      <c r="B81" s="1415" t="s">
        <v>29</v>
      </c>
      <c r="C81" s="1415"/>
      <c r="D81" s="1415"/>
      <c r="E81" s="1415"/>
      <c r="F81" s="1415"/>
      <c r="G81" s="1415"/>
      <c r="H81" s="746" t="s">
        <v>2125</v>
      </c>
      <c r="I81" s="746" t="s">
        <v>2126</v>
      </c>
    </row>
    <row r="82" spans="1:9" ht="12.75" customHeight="1" x14ac:dyDescent="0.25">
      <c r="A82" s="730"/>
      <c r="B82" s="730" t="s">
        <v>30</v>
      </c>
      <c r="C82" s="735"/>
      <c r="D82" s="732"/>
      <c r="E82" s="746" t="s">
        <v>2129</v>
      </c>
      <c r="F82" s="753"/>
      <c r="G82" s="750"/>
      <c r="H82" s="753"/>
      <c r="I82" s="753"/>
    </row>
    <row r="83" spans="1:9" s="733" customFormat="1" ht="16.5" customHeight="1" x14ac:dyDescent="0.25">
      <c r="A83" s="741"/>
      <c r="B83" s="742"/>
      <c r="C83" s="736"/>
      <c r="D83" s="742"/>
      <c r="E83" s="1408" t="s">
        <v>2130</v>
      </c>
      <c r="F83" s="1408"/>
      <c r="G83" s="1408"/>
      <c r="H83" s="1408"/>
      <c r="I83" s="1408"/>
    </row>
    <row r="84" spans="1:9" ht="7.2" customHeight="1" x14ac:dyDescent="0.25">
      <c r="A84" s="725"/>
      <c r="B84" s="725"/>
      <c r="C84" s="725"/>
      <c r="D84" s="725"/>
      <c r="E84" s="725"/>
      <c r="F84" s="725"/>
      <c r="G84" s="725"/>
      <c r="H84" s="725"/>
    </row>
    <row r="85" spans="1:9" ht="12.75" customHeight="1" x14ac:dyDescent="0.25">
      <c r="A85" s="739" t="s">
        <v>68</v>
      </c>
      <c r="B85" s="1423" t="s">
        <v>626</v>
      </c>
      <c r="C85" s="1423"/>
      <c r="D85" s="1423"/>
      <c r="E85" s="1423"/>
      <c r="F85" s="1423"/>
      <c r="G85" s="1423"/>
      <c r="H85" s="1423"/>
      <c r="I85" s="1423"/>
    </row>
    <row r="86" spans="1:9" ht="6.75" customHeight="1" x14ac:dyDescent="0.25">
      <c r="A86" s="1413"/>
      <c r="B86" s="1413"/>
      <c r="C86" s="1413"/>
      <c r="D86" s="1413"/>
      <c r="E86" s="1413"/>
      <c r="F86" s="1413"/>
      <c r="G86" s="1413"/>
      <c r="H86" s="1413"/>
    </row>
    <row r="87" spans="1:9" ht="12.75" customHeight="1" x14ac:dyDescent="0.25">
      <c r="A87" s="730" t="s">
        <v>31</v>
      </c>
      <c r="B87" s="1415" t="s">
        <v>41</v>
      </c>
      <c r="C87" s="1415"/>
      <c r="D87" s="1415"/>
      <c r="E87" s="1415"/>
      <c r="F87" s="1415"/>
      <c r="G87" s="1415"/>
      <c r="H87" s="746" t="s">
        <v>2125</v>
      </c>
      <c r="I87" s="746" t="s">
        <v>2126</v>
      </c>
    </row>
    <row r="88" spans="1:9" s="733" customFormat="1" ht="16.5" customHeight="1" x14ac:dyDescent="0.25">
      <c r="A88" s="741"/>
      <c r="B88" s="1416" t="s">
        <v>49</v>
      </c>
      <c r="C88" s="1416"/>
      <c r="D88" s="1416"/>
      <c r="E88" s="1416"/>
      <c r="F88" s="1416"/>
      <c r="G88" s="1416"/>
      <c r="H88" s="1416"/>
      <c r="I88" s="1416"/>
    </row>
    <row r="89" spans="1:9" ht="3" customHeight="1" x14ac:dyDescent="0.25">
      <c r="A89" s="725"/>
      <c r="B89" s="725"/>
      <c r="C89" s="725"/>
      <c r="D89" s="725"/>
      <c r="E89" s="725"/>
      <c r="F89" s="725"/>
      <c r="G89" s="725"/>
      <c r="H89" s="725"/>
    </row>
    <row r="90" spans="1:9" ht="12.75" customHeight="1" x14ac:dyDescent="0.25">
      <c r="A90" s="730" t="s">
        <v>33</v>
      </c>
      <c r="B90" s="1415" t="s">
        <v>42</v>
      </c>
      <c r="C90" s="1415"/>
      <c r="D90" s="1415"/>
      <c r="E90" s="1415"/>
      <c r="F90" s="1415"/>
      <c r="G90" s="1415"/>
      <c r="H90" s="746" t="s">
        <v>2125</v>
      </c>
      <c r="I90" s="746" t="s">
        <v>2126</v>
      </c>
    </row>
    <row r="91" spans="1:9" s="733" customFormat="1" ht="15" customHeight="1" x14ac:dyDescent="0.25">
      <c r="A91" s="741"/>
      <c r="B91" s="1416" t="s">
        <v>50</v>
      </c>
      <c r="C91" s="1416"/>
      <c r="D91" s="1416"/>
      <c r="E91" s="1416"/>
      <c r="F91" s="1416"/>
      <c r="G91" s="1416"/>
      <c r="H91" s="1416"/>
      <c r="I91" s="1416"/>
    </row>
    <row r="92" spans="1:9" ht="3" customHeight="1" x14ac:dyDescent="0.25">
      <c r="A92" s="725"/>
      <c r="B92" s="725"/>
      <c r="C92" s="725"/>
      <c r="D92" s="725"/>
      <c r="E92" s="725"/>
      <c r="F92" s="725"/>
      <c r="G92" s="725"/>
      <c r="H92" s="725"/>
    </row>
    <row r="93" spans="1:9" ht="24.75" customHeight="1" x14ac:dyDescent="0.25">
      <c r="A93" s="730" t="s">
        <v>37</v>
      </c>
      <c r="B93" s="1415" t="s">
        <v>43</v>
      </c>
      <c r="C93" s="1415"/>
      <c r="D93" s="1415"/>
      <c r="E93" s="1415"/>
      <c r="F93" s="1415"/>
      <c r="G93" s="1415"/>
      <c r="H93" s="746" t="s">
        <v>2125</v>
      </c>
      <c r="I93" s="746" t="s">
        <v>2126</v>
      </c>
    </row>
    <row r="94" spans="1:9" ht="12.75" customHeight="1" x14ac:dyDescent="0.25">
      <c r="A94" s="730"/>
      <c r="B94" s="1427" t="s">
        <v>51</v>
      </c>
      <c r="C94" s="1427"/>
      <c r="D94" s="1427"/>
      <c r="E94" s="1427"/>
      <c r="F94" s="1427"/>
      <c r="G94" s="1427"/>
      <c r="H94" s="1427"/>
      <c r="I94" s="1427"/>
    </row>
    <row r="95" spans="1:9" s="733" customFormat="1" ht="16.5" customHeight="1" x14ac:dyDescent="0.25">
      <c r="A95" s="741"/>
      <c r="B95" s="1416" t="s">
        <v>52</v>
      </c>
      <c r="C95" s="1416"/>
      <c r="D95" s="1416"/>
      <c r="E95" s="1416"/>
      <c r="F95" s="1416"/>
      <c r="G95" s="1416"/>
      <c r="H95" s="1416"/>
      <c r="I95" s="1416"/>
    </row>
    <row r="96" spans="1:9" s="733" customFormat="1" ht="16.5" customHeight="1" x14ac:dyDescent="0.25">
      <c r="A96" s="741"/>
      <c r="B96" s="1416" t="s">
        <v>52</v>
      </c>
      <c r="C96" s="1416"/>
      <c r="D96" s="1416"/>
      <c r="E96" s="1416"/>
      <c r="F96" s="1416"/>
      <c r="G96" s="1416"/>
      <c r="H96" s="1416"/>
      <c r="I96" s="1416"/>
    </row>
    <row r="97" spans="1:9" ht="3" customHeight="1" x14ac:dyDescent="0.25">
      <c r="A97" s="725"/>
      <c r="B97" s="725"/>
      <c r="C97" s="725"/>
      <c r="D97" s="725"/>
      <c r="E97" s="725"/>
      <c r="F97" s="725"/>
      <c r="G97" s="725"/>
      <c r="H97" s="725"/>
    </row>
    <row r="98" spans="1:9" ht="12.75" customHeight="1" x14ac:dyDescent="0.25">
      <c r="A98" s="730" t="s">
        <v>39</v>
      </c>
      <c r="B98" s="1415" t="s">
        <v>44</v>
      </c>
      <c r="C98" s="1415"/>
      <c r="D98" s="1415"/>
      <c r="E98" s="1415"/>
      <c r="F98" s="1415"/>
      <c r="G98" s="1415"/>
      <c r="H98" s="746" t="s">
        <v>2125</v>
      </c>
      <c r="I98" s="746" t="s">
        <v>2126</v>
      </c>
    </row>
    <row r="99" spans="1:9" ht="12.75" customHeight="1" x14ac:dyDescent="0.25">
      <c r="A99" s="730"/>
      <c r="B99" s="1427" t="s">
        <v>53</v>
      </c>
      <c r="C99" s="1427"/>
      <c r="D99" s="1427"/>
      <c r="E99" s="1427"/>
      <c r="F99" s="1427"/>
      <c r="G99" s="1427"/>
      <c r="H99" s="1427"/>
      <c r="I99" s="1427"/>
    </row>
    <row r="100" spans="1:9" s="733" customFormat="1" ht="16.5" customHeight="1" x14ac:dyDescent="0.25">
      <c r="A100" s="741"/>
      <c r="B100" s="1416" t="s">
        <v>52</v>
      </c>
      <c r="C100" s="1416"/>
      <c r="D100" s="1416"/>
      <c r="E100" s="1416"/>
      <c r="F100" s="1416"/>
      <c r="G100" s="1416"/>
      <c r="H100" s="1416"/>
      <c r="I100" s="1416"/>
    </row>
    <row r="101" spans="1:9" s="733" customFormat="1" ht="16.5" customHeight="1" x14ac:dyDescent="0.25">
      <c r="A101" s="741"/>
      <c r="B101" s="1416" t="s">
        <v>52</v>
      </c>
      <c r="C101" s="1416"/>
      <c r="D101" s="1416"/>
      <c r="E101" s="1416"/>
      <c r="F101" s="1416"/>
      <c r="G101" s="1416"/>
      <c r="H101" s="1416"/>
      <c r="I101" s="1416"/>
    </row>
    <row r="102" spans="1:9" s="733" customFormat="1" ht="16.5" customHeight="1" x14ac:dyDescent="0.25">
      <c r="A102" s="741"/>
      <c r="B102" s="1416" t="s">
        <v>52</v>
      </c>
      <c r="C102" s="1416"/>
      <c r="D102" s="1416"/>
      <c r="E102" s="1416"/>
      <c r="F102" s="1416"/>
      <c r="G102" s="1416"/>
      <c r="H102" s="1416"/>
      <c r="I102" s="1416"/>
    </row>
    <row r="103" spans="1:9" ht="3" customHeight="1" x14ac:dyDescent="0.25">
      <c r="A103" s="725"/>
      <c r="B103" s="725"/>
      <c r="C103" s="725"/>
      <c r="D103" s="725"/>
      <c r="E103" s="725"/>
      <c r="F103" s="725"/>
      <c r="G103" s="725"/>
      <c r="H103" s="725"/>
    </row>
    <row r="104" spans="1:9" ht="24.75" customHeight="1" x14ac:dyDescent="0.25">
      <c r="A104" s="730" t="s">
        <v>620</v>
      </c>
      <c r="B104" s="1415" t="s">
        <v>1280</v>
      </c>
      <c r="C104" s="1415"/>
      <c r="D104" s="1415"/>
      <c r="E104" s="1415"/>
      <c r="F104" s="1415"/>
      <c r="G104" s="1415"/>
      <c r="H104" s="746" t="s">
        <v>2125</v>
      </c>
      <c r="I104" s="746" t="s">
        <v>2126</v>
      </c>
    </row>
    <row r="105" spans="1:9" ht="12.75" customHeight="1" x14ac:dyDescent="0.25">
      <c r="A105" s="730"/>
      <c r="B105" s="1427" t="s">
        <v>54</v>
      </c>
      <c r="C105" s="1427"/>
      <c r="D105" s="1427"/>
      <c r="E105" s="1427"/>
      <c r="F105" s="1427"/>
      <c r="G105" s="1427"/>
      <c r="H105" s="1427"/>
      <c r="I105" s="1427"/>
    </row>
    <row r="106" spans="1:9" s="733" customFormat="1" ht="16.5" customHeight="1" x14ac:dyDescent="0.25">
      <c r="A106" s="741"/>
      <c r="B106" s="1416" t="s">
        <v>52</v>
      </c>
      <c r="C106" s="1416"/>
      <c r="D106" s="1416"/>
      <c r="E106" s="1416"/>
      <c r="F106" s="1416"/>
      <c r="G106" s="1416"/>
      <c r="H106" s="1416"/>
      <c r="I106" s="1416"/>
    </row>
    <row r="107" spans="1:9" s="733" customFormat="1" ht="16.5" customHeight="1" x14ac:dyDescent="0.25">
      <c r="A107" s="741"/>
      <c r="B107" s="1416" t="s">
        <v>52</v>
      </c>
      <c r="C107" s="1416"/>
      <c r="D107" s="1416"/>
      <c r="E107" s="1416"/>
      <c r="F107" s="1416"/>
      <c r="G107" s="1416"/>
      <c r="H107" s="1416"/>
      <c r="I107" s="1416"/>
    </row>
    <row r="108" spans="1:9" s="733" customFormat="1" ht="4.95" customHeight="1" x14ac:dyDescent="0.25">
      <c r="A108" s="741"/>
      <c r="B108" s="1328"/>
      <c r="C108" s="1328"/>
      <c r="D108" s="1328"/>
      <c r="E108" s="1328"/>
      <c r="F108" s="1328"/>
      <c r="G108" s="1328"/>
      <c r="H108" s="1328"/>
      <c r="I108" s="1328"/>
    </row>
    <row r="109" spans="1:9" ht="3" customHeight="1" x14ac:dyDescent="0.25">
      <c r="A109" s="725"/>
      <c r="B109" s="725"/>
      <c r="C109" s="725"/>
      <c r="D109" s="725"/>
      <c r="E109" s="725"/>
      <c r="F109" s="725"/>
      <c r="G109" s="725"/>
      <c r="H109" s="725"/>
    </row>
    <row r="110" spans="1:9" ht="24.75" customHeight="1" x14ac:dyDescent="0.25">
      <c r="A110" s="730" t="s">
        <v>621</v>
      </c>
      <c r="B110" s="1415" t="s">
        <v>45</v>
      </c>
      <c r="C110" s="1415"/>
      <c r="D110" s="1415"/>
      <c r="E110" s="1415"/>
      <c r="F110" s="1415"/>
      <c r="G110" s="1415"/>
      <c r="H110" s="746" t="s">
        <v>2125</v>
      </c>
      <c r="I110" s="746" t="s">
        <v>2126</v>
      </c>
    </row>
    <row r="111" spans="1:9" ht="12.75" customHeight="1" x14ac:dyDescent="0.25">
      <c r="A111" s="730"/>
      <c r="B111" s="1430" t="s">
        <v>3629</v>
      </c>
      <c r="C111" s="1427"/>
      <c r="D111" s="1427"/>
      <c r="E111" s="1427"/>
      <c r="F111" s="1427"/>
      <c r="G111" s="1427"/>
      <c r="H111" s="1427"/>
      <c r="I111" s="1427"/>
    </row>
    <row r="112" spans="1:9" ht="12.75" customHeight="1" x14ac:dyDescent="0.25">
      <c r="A112" s="730"/>
      <c r="B112" s="1240" t="s">
        <v>3630</v>
      </c>
      <c r="C112" s="1236"/>
      <c r="D112" s="1236"/>
      <c r="E112" s="1236"/>
      <c r="F112" s="1240" t="s">
        <v>3631</v>
      </c>
      <c r="G112" s="1236"/>
      <c r="H112" s="1240" t="s">
        <v>3632</v>
      </c>
      <c r="I112" s="1236"/>
    </row>
    <row r="113" spans="1:9" s="733" customFormat="1" ht="16.5" customHeight="1" x14ac:dyDescent="0.25">
      <c r="A113" s="741"/>
      <c r="B113" s="1241" t="s">
        <v>3633</v>
      </c>
      <c r="C113" s="749"/>
      <c r="D113" s="749"/>
      <c r="E113" s="749"/>
      <c r="F113" s="1241" t="s">
        <v>3635</v>
      </c>
      <c r="G113" s="749"/>
      <c r="H113" s="746" t="s">
        <v>2125</v>
      </c>
      <c r="I113" s="746" t="s">
        <v>2126</v>
      </c>
    </row>
    <row r="114" spans="1:9" s="733" customFormat="1" ht="16.5" customHeight="1" x14ac:dyDescent="0.25">
      <c r="A114" s="741"/>
      <c r="B114" s="1241" t="s">
        <v>3633</v>
      </c>
      <c r="C114" s="749"/>
      <c r="D114" s="749"/>
      <c r="E114" s="749"/>
      <c r="F114" s="1241" t="s">
        <v>3635</v>
      </c>
      <c r="G114" s="749"/>
      <c r="H114" s="746" t="s">
        <v>2125</v>
      </c>
      <c r="I114" s="746" t="s">
        <v>2126</v>
      </c>
    </row>
    <row r="115" spans="1:9" s="733" customFormat="1" ht="16.5" customHeight="1" x14ac:dyDescent="0.25">
      <c r="A115" s="741"/>
      <c r="B115" s="1241" t="s">
        <v>3633</v>
      </c>
      <c r="C115" s="749"/>
      <c r="D115" s="749"/>
      <c r="E115" s="749"/>
      <c r="F115" s="1241" t="s">
        <v>3635</v>
      </c>
      <c r="G115" s="749"/>
      <c r="H115" s="746" t="s">
        <v>2125</v>
      </c>
      <c r="I115" s="746" t="s">
        <v>2126</v>
      </c>
    </row>
    <row r="116" spans="1:9" ht="10.95" customHeight="1" x14ac:dyDescent="0.25">
      <c r="A116" s="725"/>
      <c r="B116" s="725"/>
      <c r="C116" s="725"/>
      <c r="D116" s="725"/>
      <c r="E116" s="725"/>
      <c r="F116" s="725"/>
      <c r="G116" s="725"/>
      <c r="H116" s="725"/>
      <c r="I116" s="1332" t="s">
        <v>74</v>
      </c>
    </row>
    <row r="117" spans="1:9" ht="10.95" customHeight="1" x14ac:dyDescent="0.25">
      <c r="A117" s="725"/>
      <c r="B117" s="725"/>
      <c r="C117" s="725"/>
      <c r="D117" s="725"/>
      <c r="E117" s="725"/>
      <c r="F117" s="725"/>
      <c r="G117" s="725"/>
      <c r="H117" s="725"/>
      <c r="I117" s="1332"/>
    </row>
    <row r="118" spans="1:9" ht="12.75" customHeight="1" x14ac:dyDescent="0.25">
      <c r="A118" s="730" t="s">
        <v>622</v>
      </c>
      <c r="B118" s="1415" t="s">
        <v>46</v>
      </c>
      <c r="C118" s="1415"/>
      <c r="D118" s="1415"/>
      <c r="E118" s="1415"/>
      <c r="F118" s="1415"/>
      <c r="G118" s="1415"/>
      <c r="H118" s="746" t="s">
        <v>2125</v>
      </c>
      <c r="I118" s="746" t="s">
        <v>2126</v>
      </c>
    </row>
    <row r="119" spans="1:9" ht="12.75" customHeight="1" x14ac:dyDescent="0.25">
      <c r="A119" s="730"/>
      <c r="B119" s="1427" t="s">
        <v>54</v>
      </c>
      <c r="C119" s="1427"/>
      <c r="D119" s="1427"/>
      <c r="E119" s="1427"/>
      <c r="F119" s="1427"/>
      <c r="G119" s="1427"/>
      <c r="H119" s="1427"/>
      <c r="I119" s="1427"/>
    </row>
    <row r="120" spans="1:9" ht="12.75" customHeight="1" x14ac:dyDescent="0.25">
      <c r="A120" s="741"/>
      <c r="B120" s="1416" t="s">
        <v>52</v>
      </c>
      <c r="C120" s="1416"/>
      <c r="D120" s="1416"/>
      <c r="E120" s="1416"/>
      <c r="F120" s="1416"/>
      <c r="G120" s="1416"/>
      <c r="H120" s="1416"/>
      <c r="I120" s="1416"/>
    </row>
    <row r="121" spans="1:9" ht="12.75" customHeight="1" x14ac:dyDescent="0.25">
      <c r="A121" s="741"/>
      <c r="B121" s="1416" t="s">
        <v>52</v>
      </c>
      <c r="C121" s="1416"/>
      <c r="D121" s="1416"/>
      <c r="E121" s="1416"/>
      <c r="F121" s="1416"/>
      <c r="G121" s="1416"/>
      <c r="H121" s="1416"/>
      <c r="I121" s="1416"/>
    </row>
    <row r="122" spans="1:9" ht="4.5" customHeight="1" x14ac:dyDescent="0.25">
      <c r="A122" s="725"/>
      <c r="B122" s="725"/>
      <c r="C122" s="725"/>
      <c r="D122" s="725"/>
      <c r="E122" s="725"/>
      <c r="F122" s="725"/>
      <c r="G122" s="725"/>
      <c r="H122" s="725"/>
    </row>
    <row r="123" spans="1:9" ht="6.75" customHeight="1" x14ac:dyDescent="0.25">
      <c r="A123" s="725"/>
      <c r="B123" s="725"/>
      <c r="C123" s="725"/>
      <c r="D123" s="725"/>
      <c r="E123" s="725"/>
      <c r="F123" s="725"/>
      <c r="G123" s="725"/>
      <c r="H123" s="725"/>
    </row>
    <row r="124" spans="1:9" ht="12.75" customHeight="1" x14ac:dyDescent="0.25">
      <c r="A124" s="730" t="s">
        <v>623</v>
      </c>
      <c r="B124" s="1417" t="s">
        <v>3864</v>
      </c>
      <c r="C124" s="1415"/>
      <c r="D124" s="1415"/>
      <c r="E124" s="1415"/>
      <c r="F124" s="1415"/>
      <c r="G124" s="1415"/>
      <c r="H124" s="746" t="s">
        <v>2125</v>
      </c>
      <c r="I124" s="746" t="s">
        <v>2126</v>
      </c>
    </row>
    <row r="125" spans="1:9" ht="12.75" customHeight="1" x14ac:dyDescent="0.25">
      <c r="A125" s="730"/>
      <c r="B125" s="1427" t="s">
        <v>55</v>
      </c>
      <c r="C125" s="1427"/>
      <c r="D125" s="1427"/>
      <c r="E125" s="1427"/>
      <c r="F125" s="1427"/>
      <c r="G125" s="1427"/>
      <c r="H125" s="1427"/>
      <c r="I125" s="1427"/>
    </row>
    <row r="126" spans="1:9" s="733" customFormat="1" ht="16.5" customHeight="1" x14ac:dyDescent="0.25">
      <c r="A126" s="741"/>
      <c r="B126" s="1416" t="s">
        <v>52</v>
      </c>
      <c r="C126" s="1416"/>
      <c r="D126" s="1416"/>
      <c r="E126" s="1416"/>
      <c r="F126" s="1416"/>
      <c r="G126" s="1416"/>
      <c r="H126" s="1416"/>
      <c r="I126" s="1416"/>
    </row>
    <row r="127" spans="1:9" s="733" customFormat="1" ht="16.5" customHeight="1" x14ac:dyDescent="0.25">
      <c r="A127" s="741"/>
      <c r="B127" s="1416" t="s">
        <v>52</v>
      </c>
      <c r="C127" s="1416"/>
      <c r="D127" s="1416"/>
      <c r="E127" s="1416"/>
      <c r="F127" s="1416"/>
      <c r="G127" s="1416"/>
      <c r="H127" s="1416"/>
      <c r="I127" s="1416"/>
    </row>
    <row r="128" spans="1:9" s="733" customFormat="1" ht="16.5" customHeight="1" x14ac:dyDescent="0.25">
      <c r="A128" s="741"/>
      <c r="B128" s="1416" t="s">
        <v>52</v>
      </c>
      <c r="C128" s="1416"/>
      <c r="D128" s="1416"/>
      <c r="E128" s="1416"/>
      <c r="F128" s="1416"/>
      <c r="G128" s="1416"/>
      <c r="H128" s="1416"/>
      <c r="I128" s="1416"/>
    </row>
    <row r="129" spans="1:9" ht="3" customHeight="1" x14ac:dyDescent="0.25">
      <c r="A129" s="725"/>
      <c r="B129" s="725"/>
      <c r="C129" s="725"/>
      <c r="D129" s="725"/>
      <c r="E129" s="725"/>
      <c r="F129" s="725"/>
      <c r="G129" s="725"/>
      <c r="H129" s="725"/>
    </row>
    <row r="130" spans="1:9" ht="16.2" customHeight="1" x14ac:dyDescent="0.25">
      <c r="A130" s="725"/>
      <c r="B130" s="725"/>
      <c r="C130" s="725"/>
      <c r="D130" s="725"/>
      <c r="E130" s="725"/>
      <c r="F130" s="725"/>
      <c r="G130" s="725"/>
      <c r="H130" s="725"/>
    </row>
    <row r="131" spans="1:9" ht="13.95" customHeight="1" x14ac:dyDescent="0.25">
      <c r="A131" s="735" t="s">
        <v>26</v>
      </c>
      <c r="B131" s="1417" t="s">
        <v>3866</v>
      </c>
      <c r="C131" s="1415"/>
      <c r="D131" s="1415"/>
      <c r="E131" s="1415"/>
      <c r="F131" s="1415"/>
      <c r="G131" s="1415"/>
      <c r="H131" s="746" t="s">
        <v>2125</v>
      </c>
      <c r="I131" s="746" t="s">
        <v>2126</v>
      </c>
    </row>
    <row r="132" spans="1:9" ht="16.2" customHeight="1" x14ac:dyDescent="0.25">
      <c r="A132" s="735"/>
      <c r="B132" s="1338" t="s">
        <v>3867</v>
      </c>
      <c r="C132" s="1337"/>
      <c r="D132" s="1337"/>
      <c r="E132" s="1337"/>
      <c r="F132" s="1337"/>
      <c r="G132" s="1337"/>
      <c r="H132" s="746"/>
      <c r="I132" s="746"/>
    </row>
    <row r="133" spans="1:9" ht="16.2" customHeight="1" x14ac:dyDescent="0.25">
      <c r="A133" s="730"/>
      <c r="B133" s="1430" t="s">
        <v>3865</v>
      </c>
      <c r="C133" s="1427"/>
      <c r="D133" s="1427"/>
      <c r="E133" s="1427"/>
      <c r="F133" s="1427"/>
      <c r="G133" s="1427"/>
      <c r="H133" s="1427"/>
      <c r="I133" s="1427"/>
    </row>
    <row r="134" spans="1:9" ht="16.2" customHeight="1" x14ac:dyDescent="0.25">
      <c r="A134" s="741"/>
      <c r="B134" s="1416" t="s">
        <v>52</v>
      </c>
      <c r="C134" s="1416"/>
      <c r="D134" s="1416"/>
      <c r="E134" s="1416"/>
      <c r="F134" s="1416"/>
      <c r="G134" s="1416"/>
      <c r="H134" s="1416"/>
      <c r="I134" s="1416"/>
    </row>
    <row r="135" spans="1:9" ht="16.2" customHeight="1" x14ac:dyDescent="0.25">
      <c r="A135" s="741"/>
      <c r="B135" s="1416" t="s">
        <v>52</v>
      </c>
      <c r="C135" s="1416"/>
      <c r="D135" s="1416"/>
      <c r="E135" s="1416"/>
      <c r="F135" s="1416"/>
      <c r="G135" s="1416"/>
      <c r="H135" s="1416"/>
      <c r="I135" s="1416"/>
    </row>
    <row r="136" spans="1:9" ht="16.2" customHeight="1" x14ac:dyDescent="0.25">
      <c r="A136" s="741"/>
      <c r="B136" s="1416" t="s">
        <v>52</v>
      </c>
      <c r="C136" s="1416"/>
      <c r="D136" s="1416"/>
      <c r="E136" s="1416"/>
      <c r="F136" s="1416"/>
      <c r="G136" s="1416"/>
      <c r="H136" s="1416"/>
      <c r="I136" s="1416"/>
    </row>
    <row r="137" spans="1:9" ht="16.2" customHeight="1" x14ac:dyDescent="0.25">
      <c r="A137" s="725"/>
      <c r="B137" s="725"/>
      <c r="C137" s="725"/>
      <c r="D137" s="725"/>
      <c r="E137" s="725"/>
      <c r="F137" s="725"/>
      <c r="G137" s="725"/>
      <c r="H137" s="725"/>
    </row>
    <row r="138" spans="1:9" ht="3" customHeight="1" x14ac:dyDescent="0.25">
      <c r="A138" s="725"/>
      <c r="B138" s="725"/>
      <c r="C138" s="725"/>
      <c r="D138" s="725"/>
      <c r="E138" s="725"/>
      <c r="F138" s="725"/>
      <c r="G138" s="725"/>
      <c r="H138" s="725"/>
    </row>
    <row r="139" spans="1:9" s="741" customFormat="1" ht="15" customHeight="1" x14ac:dyDescent="0.2">
      <c r="A139" s="736" t="s">
        <v>28</v>
      </c>
      <c r="B139" s="754" t="s">
        <v>79</v>
      </c>
      <c r="C139" s="749" t="s">
        <v>80</v>
      </c>
      <c r="D139" s="754"/>
      <c r="E139" s="754"/>
      <c r="F139" s="754" t="s">
        <v>81</v>
      </c>
      <c r="G139" s="749" t="s">
        <v>82</v>
      </c>
      <c r="H139" s="754"/>
    </row>
    <row r="140" spans="1:9" s="741" customFormat="1" ht="15" customHeight="1" x14ac:dyDescent="0.2">
      <c r="A140" s="736"/>
      <c r="B140" s="754"/>
      <c r="C140" s="749"/>
      <c r="D140" s="754"/>
      <c r="E140" s="754"/>
      <c r="F140" s="754"/>
      <c r="G140" s="749"/>
      <c r="H140" s="754"/>
    </row>
    <row r="141" spans="1:9" s="725" customFormat="1" ht="11.4" x14ac:dyDescent="0.2"/>
    <row r="142" spans="1:9" ht="12.75" customHeight="1" x14ac:dyDescent="0.25">
      <c r="A142" s="739" t="s">
        <v>69</v>
      </c>
      <c r="B142" s="1423" t="s">
        <v>627</v>
      </c>
      <c r="C142" s="1423"/>
      <c r="D142" s="1423"/>
      <c r="E142" s="1423"/>
      <c r="F142" s="1423"/>
      <c r="G142" s="1423"/>
      <c r="H142" s="1423"/>
      <c r="I142" s="1423"/>
    </row>
    <row r="143" spans="1:9" ht="6.75" customHeight="1" x14ac:dyDescent="0.25">
      <c r="A143" s="1413"/>
      <c r="B143" s="1413"/>
      <c r="C143" s="1413"/>
      <c r="D143" s="1413"/>
      <c r="E143" s="1413"/>
      <c r="F143" s="1413"/>
      <c r="G143" s="1413"/>
      <c r="H143" s="1413"/>
    </row>
    <row r="144" spans="1:9" x14ac:dyDescent="0.25">
      <c r="A144" s="725" t="s">
        <v>1376</v>
      </c>
      <c r="B144" s="725"/>
      <c r="C144" s="727" t="str">
        <f>VLOOKUP(Input!K5,Input!L5:M8,2)</f>
        <v>SE: Eintritt vor 50</v>
      </c>
      <c r="D144" s="725"/>
      <c r="E144" s="725"/>
      <c r="F144" s="725"/>
      <c r="G144" s="725"/>
      <c r="H144" s="725"/>
    </row>
    <row r="145" spans="1:9" x14ac:dyDescent="0.25">
      <c r="A145" s="725" t="s">
        <v>1501</v>
      </c>
      <c r="B145" s="725"/>
      <c r="C145" s="728" t="str">
        <f>'Ausweis-Certificat'!F9</f>
        <v>22011001</v>
      </c>
      <c r="D145" s="725"/>
      <c r="E145" s="725"/>
      <c r="F145" s="725"/>
      <c r="G145" s="725"/>
      <c r="H145" s="725"/>
    </row>
    <row r="146" spans="1:9" x14ac:dyDescent="0.25">
      <c r="A146" s="725" t="s">
        <v>1793</v>
      </c>
      <c r="B146" s="725"/>
      <c r="C146" s="731">
        <f>'Ausweis-Certificat'!E9</f>
        <v>423</v>
      </c>
      <c r="D146" s="725"/>
      <c r="E146" s="725"/>
      <c r="F146" s="725"/>
      <c r="G146" s="725"/>
      <c r="H146" s="725"/>
    </row>
    <row r="147" spans="1:9" x14ac:dyDescent="0.25">
      <c r="A147" s="725" t="s">
        <v>1656</v>
      </c>
      <c r="B147" s="725"/>
      <c r="C147" s="728">
        <f>Wertebereich!T29</f>
        <v>25</v>
      </c>
      <c r="D147" s="725"/>
      <c r="E147" s="725"/>
      <c r="F147" s="725"/>
      <c r="G147" s="725"/>
      <c r="H147" s="725"/>
    </row>
    <row r="148" spans="1:9" x14ac:dyDescent="0.25">
      <c r="A148" s="725" t="str">
        <f>IF('Ausweis-Certificat'!H9="","","IV-Rente")</f>
        <v>IV-Rente</v>
      </c>
      <c r="B148" s="725"/>
      <c r="C148" s="728" t="str">
        <f>IF('Ausweis-Certificat'!H9="","",CONCATENATE('Ausweis-Certificat'!H9,"%"))</f>
        <v>40%</v>
      </c>
      <c r="D148" s="725"/>
      <c r="E148" s="725"/>
      <c r="F148" s="725"/>
      <c r="G148" s="725"/>
      <c r="H148" s="725"/>
    </row>
    <row r="149" spans="1:9" x14ac:dyDescent="0.25">
      <c r="A149" s="989" t="str">
        <f>IF('Ausweis-Certificat'!I9="","","Todesfallkapital")</f>
        <v/>
      </c>
      <c r="B149" s="725"/>
      <c r="C149" s="1272" t="str">
        <f>IF('Ausweis-Certificat'!I9="","",IF('Ausweis-Certificat'!I9="AGH","AGH",CONCATENATE('Ausweis-Certificat'!I9,"%")))</f>
        <v/>
      </c>
      <c r="D149" s="725"/>
      <c r="E149" s="725"/>
      <c r="F149" s="725"/>
      <c r="G149" s="725"/>
      <c r="H149" s="725"/>
    </row>
    <row r="150" spans="1:9" x14ac:dyDescent="0.25">
      <c r="A150" s="725" t="s">
        <v>1794</v>
      </c>
      <c r="B150" s="725"/>
      <c r="C150" s="728" t="str">
        <f>'Ausweis-Certificat'!J9</f>
        <v>102_</v>
      </c>
      <c r="D150" s="725"/>
      <c r="E150" s="725"/>
      <c r="F150" s="725" t="s">
        <v>3753</v>
      </c>
      <c r="G150" s="725"/>
      <c r="H150" s="1274">
        <f>IF(Input!E47="",50%,1-Input!E47)</f>
        <v>0.5</v>
      </c>
    </row>
    <row r="151" spans="1:9" x14ac:dyDescent="0.25">
      <c r="A151" s="725"/>
      <c r="B151" s="725"/>
      <c r="C151" s="725"/>
      <c r="D151" s="725"/>
      <c r="E151" s="725"/>
      <c r="F151" s="725"/>
      <c r="G151" s="725"/>
      <c r="H151" s="725"/>
    </row>
    <row r="152" spans="1:9" ht="12.75" customHeight="1" x14ac:dyDescent="0.25">
      <c r="A152" s="739" t="s">
        <v>70</v>
      </c>
      <c r="B152" s="1423" t="s">
        <v>2100</v>
      </c>
      <c r="C152" s="1423"/>
      <c r="D152" s="1423"/>
      <c r="E152" s="1423"/>
      <c r="F152" s="1423"/>
      <c r="G152" s="1423"/>
      <c r="H152" s="1423"/>
      <c r="I152" s="1423"/>
    </row>
    <row r="153" spans="1:9" ht="6.75" customHeight="1" x14ac:dyDescent="0.25">
      <c r="A153" s="1413"/>
      <c r="B153" s="1413"/>
      <c r="C153" s="1413"/>
      <c r="D153" s="1413"/>
      <c r="E153" s="1413"/>
      <c r="F153" s="1413"/>
      <c r="G153" s="1413"/>
      <c r="H153" s="1413"/>
    </row>
    <row r="154" spans="1:9" ht="24" customHeight="1" x14ac:dyDescent="0.25">
      <c r="A154" s="1431" t="s">
        <v>2101</v>
      </c>
      <c r="B154" s="1429"/>
      <c r="C154" s="1429"/>
      <c r="D154" s="1429"/>
      <c r="E154" s="1429"/>
      <c r="F154" s="1429"/>
      <c r="G154" s="725"/>
      <c r="H154" s="746" t="s">
        <v>2125</v>
      </c>
      <c r="I154" s="746" t="s">
        <v>2126</v>
      </c>
    </row>
    <row r="155" spans="1:9" ht="6.75" customHeight="1" x14ac:dyDescent="0.25">
      <c r="A155" s="725"/>
      <c r="B155" s="725"/>
      <c r="C155" s="725"/>
      <c r="D155" s="725"/>
      <c r="E155" s="725"/>
      <c r="F155" s="725"/>
      <c r="G155" s="725"/>
      <c r="H155" s="725"/>
    </row>
    <row r="156" spans="1:9" ht="16.5" customHeight="1" x14ac:dyDescent="0.25">
      <c r="A156" s="989" t="s">
        <v>2102</v>
      </c>
      <c r="B156" s="725"/>
      <c r="C156" s="1407" t="s">
        <v>2103</v>
      </c>
      <c r="D156" s="1416"/>
      <c r="E156" s="1416"/>
      <c r="F156" s="1416"/>
      <c r="G156" s="1416"/>
      <c r="H156" s="1416"/>
      <c r="I156" s="1416"/>
    </row>
    <row r="157" spans="1:9" ht="6.75" customHeight="1" x14ac:dyDescent="0.25">
      <c r="A157" s="725"/>
      <c r="B157" s="725"/>
      <c r="C157" s="725"/>
      <c r="D157" s="725"/>
      <c r="E157" s="725"/>
      <c r="F157" s="725"/>
      <c r="G157" s="725"/>
      <c r="H157" s="725"/>
    </row>
    <row r="158" spans="1:9" ht="13.95" customHeight="1" x14ac:dyDescent="0.25">
      <c r="A158" s="989" t="s">
        <v>3880</v>
      </c>
      <c r="B158" s="725"/>
      <c r="C158" s="1407" t="s">
        <v>3881</v>
      </c>
      <c r="D158" s="1407"/>
      <c r="E158" s="749"/>
      <c r="F158" s="1241" t="s">
        <v>3883</v>
      </c>
      <c r="G158" s="749"/>
      <c r="H158" s="1407" t="s">
        <v>3882</v>
      </c>
      <c r="I158" s="1407"/>
    </row>
    <row r="159" spans="1:9" ht="6.75" customHeight="1" x14ac:dyDescent="0.25">
      <c r="A159" s="725"/>
      <c r="B159" s="725"/>
      <c r="C159" s="725"/>
      <c r="D159" s="725"/>
      <c r="E159" s="725"/>
      <c r="F159" s="725"/>
      <c r="G159" s="725"/>
      <c r="H159" s="725"/>
    </row>
    <row r="160" spans="1:9" ht="22.5" customHeight="1" x14ac:dyDescent="0.25">
      <c r="A160" s="1431" t="s">
        <v>2104</v>
      </c>
      <c r="B160" s="1431"/>
      <c r="C160" s="1431"/>
      <c r="D160" s="1431"/>
      <c r="E160" s="1431"/>
      <c r="F160" s="1431"/>
      <c r="G160" s="1431"/>
      <c r="H160" s="1431"/>
      <c r="I160" s="1431"/>
    </row>
    <row r="161" spans="1:9" x14ac:dyDescent="0.25">
      <c r="A161" s="725"/>
      <c r="B161" s="725"/>
      <c r="C161" s="725"/>
      <c r="D161" s="725"/>
      <c r="E161" s="725"/>
      <c r="F161" s="725"/>
      <c r="G161" s="725"/>
      <c r="H161" s="725"/>
    </row>
    <row r="162" spans="1:9" ht="12.75" customHeight="1" x14ac:dyDescent="0.25">
      <c r="A162" s="739" t="s">
        <v>245</v>
      </c>
      <c r="B162" s="1423" t="s">
        <v>628</v>
      </c>
      <c r="C162" s="1423"/>
      <c r="D162" s="1423"/>
      <c r="E162" s="1423"/>
      <c r="F162" s="1423"/>
      <c r="G162" s="1423"/>
      <c r="H162" s="1423"/>
      <c r="I162" s="1423"/>
    </row>
    <row r="163" spans="1:9" ht="6.75" customHeight="1" x14ac:dyDescent="0.25">
      <c r="A163" s="1413"/>
      <c r="B163" s="1413"/>
      <c r="C163" s="1413"/>
      <c r="D163" s="1413"/>
      <c r="E163" s="1413"/>
      <c r="F163" s="1413"/>
      <c r="G163" s="1413"/>
      <c r="H163" s="1413"/>
    </row>
    <row r="164" spans="1:9" ht="108.75" customHeight="1" x14ac:dyDescent="0.25">
      <c r="A164" s="1415" t="s">
        <v>48</v>
      </c>
      <c r="B164" s="1415"/>
      <c r="C164" s="1415"/>
      <c r="D164" s="1415"/>
      <c r="E164" s="1415"/>
      <c r="F164" s="1415"/>
      <c r="G164" s="1415"/>
      <c r="H164" s="1415"/>
      <c r="I164" s="1415"/>
    </row>
    <row r="165" spans="1:9" x14ac:dyDescent="0.25">
      <c r="A165" s="725" t="s">
        <v>83</v>
      </c>
      <c r="B165" s="725"/>
      <c r="C165" s="725"/>
      <c r="D165" s="725"/>
      <c r="E165" s="725"/>
      <c r="F165" s="725" t="s">
        <v>84</v>
      </c>
      <c r="G165" s="725"/>
      <c r="H165" s="725"/>
    </row>
    <row r="166" spans="1:9" ht="39" customHeight="1" x14ac:dyDescent="0.25">
      <c r="A166" s="1416" t="s">
        <v>47</v>
      </c>
      <c r="B166" s="1416"/>
      <c r="C166" s="1416"/>
      <c r="D166" s="1416"/>
      <c r="E166" s="725"/>
      <c r="F166" s="1429" t="s">
        <v>32</v>
      </c>
      <c r="G166" s="1429"/>
      <c r="H166" s="1429"/>
      <c r="I166" s="1429"/>
    </row>
    <row r="167" spans="1:9" ht="114" customHeight="1" x14ac:dyDescent="0.25">
      <c r="A167" s="725"/>
      <c r="B167" s="725"/>
      <c r="C167" s="725"/>
      <c r="D167" s="725"/>
      <c r="E167" s="725"/>
      <c r="F167" s="725"/>
      <c r="G167" s="725"/>
      <c r="H167" s="725"/>
      <c r="I167" s="743" t="s">
        <v>75</v>
      </c>
    </row>
    <row r="168" spans="1:9" ht="12.75" customHeight="1" x14ac:dyDescent="0.25">
      <c r="A168" s="725"/>
      <c r="B168" s="725"/>
      <c r="C168" s="725"/>
      <c r="D168" s="725"/>
      <c r="E168" s="725"/>
      <c r="F168" s="725"/>
      <c r="G168" s="725"/>
      <c r="H168" s="725"/>
      <c r="I168" s="743"/>
    </row>
    <row r="169" spans="1:9" x14ac:dyDescent="0.25">
      <c r="A169" s="725"/>
      <c r="B169" s="725"/>
      <c r="C169" s="725"/>
      <c r="D169" s="725"/>
      <c r="E169" s="725"/>
      <c r="F169" s="725"/>
      <c r="G169" s="725"/>
      <c r="H169" s="725"/>
    </row>
    <row r="170" spans="1:9" x14ac:dyDescent="0.25">
      <c r="A170" s="725"/>
      <c r="B170" s="725"/>
      <c r="C170" s="725"/>
      <c r="D170" s="725"/>
      <c r="E170" s="725"/>
      <c r="F170" s="725"/>
      <c r="G170" s="725"/>
      <c r="H170" s="725"/>
    </row>
    <row r="171" spans="1:9" x14ac:dyDescent="0.25">
      <c r="A171" s="725"/>
      <c r="B171" s="725"/>
      <c r="C171" s="725"/>
      <c r="D171" s="725"/>
      <c r="E171" s="725"/>
      <c r="F171" s="725"/>
      <c r="G171" s="725"/>
      <c r="H171" s="725"/>
    </row>
    <row r="172" spans="1:9" x14ac:dyDescent="0.25">
      <c r="A172" s="725"/>
      <c r="B172" s="725"/>
      <c r="C172" s="725"/>
      <c r="D172" s="725"/>
      <c r="E172" s="725"/>
      <c r="F172" s="725"/>
      <c r="G172" s="725"/>
      <c r="H172" s="725"/>
    </row>
    <row r="173" spans="1:9" x14ac:dyDescent="0.25">
      <c r="A173" s="725"/>
      <c r="B173" s="725"/>
      <c r="C173" s="725"/>
      <c r="D173" s="725"/>
      <c r="E173" s="725"/>
      <c r="F173" s="725"/>
      <c r="G173" s="725"/>
      <c r="H173" s="725"/>
    </row>
    <row r="174" spans="1:9" x14ac:dyDescent="0.25">
      <c r="A174" s="725"/>
      <c r="B174" s="725"/>
      <c r="C174" s="725"/>
      <c r="D174" s="725"/>
      <c r="E174" s="725"/>
      <c r="F174" s="725"/>
      <c r="G174" s="725"/>
      <c r="H174" s="725"/>
    </row>
    <row r="175" spans="1:9" x14ac:dyDescent="0.25">
      <c r="A175" s="725"/>
      <c r="B175" s="725"/>
      <c r="C175" s="725"/>
      <c r="D175" s="725"/>
      <c r="E175" s="725"/>
      <c r="F175" s="725"/>
      <c r="G175" s="725"/>
      <c r="H175" s="725"/>
    </row>
    <row r="176" spans="1:9" x14ac:dyDescent="0.25">
      <c r="A176" s="725"/>
      <c r="B176" s="725"/>
      <c r="C176" s="725"/>
      <c r="D176" s="725"/>
      <c r="E176" s="725"/>
      <c r="F176" s="725"/>
      <c r="G176" s="725"/>
      <c r="H176" s="725"/>
    </row>
    <row r="177" spans="1:8" x14ac:dyDescent="0.25">
      <c r="A177" s="725"/>
      <c r="B177" s="725"/>
      <c r="C177" s="725"/>
      <c r="D177" s="725"/>
      <c r="E177" s="725"/>
      <c r="F177" s="725"/>
      <c r="G177" s="725"/>
      <c r="H177" s="725"/>
    </row>
    <row r="178" spans="1:8" x14ac:dyDescent="0.25">
      <c r="A178" s="725"/>
      <c r="B178" s="725"/>
      <c r="C178" s="725"/>
      <c r="D178" s="725"/>
      <c r="E178" s="725"/>
      <c r="F178" s="725"/>
      <c r="G178" s="725"/>
      <c r="H178" s="725"/>
    </row>
    <row r="179" spans="1:8" x14ac:dyDescent="0.25">
      <c r="A179" s="725"/>
      <c r="B179" s="725"/>
      <c r="C179" s="725"/>
      <c r="D179" s="725"/>
      <c r="E179" s="725"/>
      <c r="F179" s="725"/>
      <c r="G179" s="725"/>
      <c r="H179" s="725"/>
    </row>
    <row r="180" spans="1:8" x14ac:dyDescent="0.25">
      <c r="A180" s="725"/>
      <c r="B180" s="725"/>
      <c r="C180" s="725"/>
      <c r="D180" s="725"/>
      <c r="E180" s="725"/>
      <c r="F180" s="725"/>
      <c r="G180" s="725"/>
      <c r="H180" s="725"/>
    </row>
    <row r="181" spans="1:8" x14ac:dyDescent="0.25">
      <c r="A181" s="725"/>
      <c r="B181" s="725"/>
      <c r="C181" s="725"/>
      <c r="D181" s="725"/>
      <c r="E181" s="725"/>
      <c r="F181" s="725"/>
      <c r="G181" s="725"/>
      <c r="H181" s="725"/>
    </row>
    <row r="182" spans="1:8" x14ac:dyDescent="0.25">
      <c r="A182" s="725"/>
      <c r="B182" s="725"/>
      <c r="C182" s="725"/>
      <c r="D182" s="725"/>
      <c r="E182" s="725"/>
      <c r="F182" s="725"/>
      <c r="G182" s="725"/>
      <c r="H182" s="725"/>
    </row>
    <row r="183" spans="1:8" x14ac:dyDescent="0.25">
      <c r="A183" s="725"/>
      <c r="B183" s="725"/>
      <c r="C183" s="725"/>
      <c r="D183" s="725"/>
      <c r="E183" s="725"/>
      <c r="F183" s="725"/>
      <c r="G183" s="725"/>
      <c r="H183" s="725"/>
    </row>
    <row r="184" spans="1:8" x14ac:dyDescent="0.25">
      <c r="A184" s="725"/>
      <c r="B184" s="725"/>
      <c r="C184" s="725"/>
      <c r="D184" s="725"/>
      <c r="E184" s="725"/>
      <c r="F184" s="725"/>
      <c r="G184" s="725"/>
      <c r="H184" s="725"/>
    </row>
    <row r="185" spans="1:8" x14ac:dyDescent="0.25">
      <c r="A185" s="725"/>
      <c r="B185" s="725"/>
      <c r="C185" s="725"/>
      <c r="D185" s="725"/>
      <c r="E185" s="725"/>
      <c r="F185" s="725"/>
      <c r="G185" s="725"/>
      <c r="H185" s="725"/>
    </row>
    <row r="186" spans="1:8" x14ac:dyDescent="0.25">
      <c r="A186" s="725"/>
      <c r="B186" s="725"/>
      <c r="C186" s="725"/>
      <c r="D186" s="725"/>
      <c r="E186" s="725"/>
      <c r="F186" s="725"/>
      <c r="G186" s="725"/>
      <c r="H186" s="725"/>
    </row>
    <row r="187" spans="1:8" x14ac:dyDescent="0.25">
      <c r="A187" s="725"/>
      <c r="B187" s="725"/>
      <c r="C187" s="725"/>
      <c r="D187" s="725"/>
      <c r="E187" s="725"/>
      <c r="F187" s="725"/>
      <c r="G187" s="725"/>
      <c r="H187" s="725"/>
    </row>
    <row r="188" spans="1:8" x14ac:dyDescent="0.25">
      <c r="A188" s="725"/>
      <c r="B188" s="725"/>
      <c r="C188" s="725"/>
      <c r="D188" s="725"/>
      <c r="E188" s="725"/>
      <c r="F188" s="725"/>
      <c r="G188" s="725"/>
      <c r="H188" s="725"/>
    </row>
    <row r="189" spans="1:8" x14ac:dyDescent="0.25">
      <c r="A189" s="725"/>
      <c r="B189" s="725"/>
      <c r="C189" s="725"/>
      <c r="D189" s="725"/>
      <c r="E189" s="725"/>
      <c r="F189" s="725"/>
      <c r="G189" s="725"/>
      <c r="H189" s="725"/>
    </row>
    <row r="190" spans="1:8" x14ac:dyDescent="0.25">
      <c r="A190" s="725"/>
      <c r="B190" s="725"/>
      <c r="C190" s="725"/>
      <c r="D190" s="725"/>
      <c r="E190" s="725"/>
      <c r="F190" s="725"/>
      <c r="G190" s="725"/>
      <c r="H190" s="725"/>
    </row>
    <row r="191" spans="1:8" x14ac:dyDescent="0.25">
      <c r="A191" s="725"/>
      <c r="B191" s="725"/>
      <c r="C191" s="725"/>
      <c r="D191" s="725"/>
      <c r="E191" s="725"/>
      <c r="F191" s="725"/>
      <c r="G191" s="725"/>
      <c r="H191" s="725"/>
    </row>
    <row r="192" spans="1:8" x14ac:dyDescent="0.25">
      <c r="A192" s="725"/>
      <c r="B192" s="725"/>
      <c r="C192" s="725"/>
      <c r="D192" s="725"/>
      <c r="E192" s="725"/>
      <c r="F192" s="725"/>
      <c r="G192" s="725"/>
      <c r="H192" s="725"/>
    </row>
    <row r="193" spans="1:8" x14ac:dyDescent="0.25">
      <c r="A193" s="725"/>
      <c r="B193" s="725"/>
      <c r="C193" s="725"/>
      <c r="D193" s="725"/>
      <c r="E193" s="725"/>
      <c r="F193" s="725"/>
      <c r="G193" s="725"/>
      <c r="H193" s="725"/>
    </row>
    <row r="194" spans="1:8" x14ac:dyDescent="0.25">
      <c r="A194" s="725"/>
      <c r="B194" s="725"/>
      <c r="C194" s="725"/>
      <c r="D194" s="725"/>
      <c r="E194" s="725"/>
      <c r="F194" s="725"/>
      <c r="G194" s="725"/>
      <c r="H194" s="725"/>
    </row>
    <row r="195" spans="1:8" x14ac:dyDescent="0.25">
      <c r="A195" s="725"/>
      <c r="B195" s="725"/>
      <c r="C195" s="725"/>
      <c r="D195" s="725"/>
      <c r="E195" s="725"/>
      <c r="F195" s="725"/>
      <c r="G195" s="725"/>
      <c r="H195" s="725"/>
    </row>
    <row r="196" spans="1:8" x14ac:dyDescent="0.25">
      <c r="A196" s="725"/>
      <c r="B196" s="725"/>
      <c r="C196" s="725"/>
      <c r="D196" s="725"/>
      <c r="E196" s="725"/>
      <c r="F196" s="725"/>
      <c r="G196" s="725"/>
      <c r="H196" s="725"/>
    </row>
    <row r="197" spans="1:8" x14ac:dyDescent="0.25">
      <c r="A197" s="725"/>
      <c r="B197" s="725"/>
      <c r="C197" s="725"/>
      <c r="D197" s="725"/>
      <c r="E197" s="725"/>
      <c r="F197" s="725"/>
      <c r="G197" s="725"/>
      <c r="H197" s="725"/>
    </row>
    <row r="198" spans="1:8" x14ac:dyDescent="0.25">
      <c r="A198" s="725"/>
      <c r="B198" s="725"/>
      <c r="C198" s="725"/>
      <c r="D198" s="725"/>
      <c r="E198" s="725"/>
      <c r="F198" s="725"/>
      <c r="G198" s="725"/>
      <c r="H198" s="725"/>
    </row>
    <row r="199" spans="1:8" x14ac:dyDescent="0.25">
      <c r="A199" s="725"/>
      <c r="B199" s="725"/>
      <c r="C199" s="725"/>
      <c r="D199" s="725"/>
      <c r="E199" s="725"/>
      <c r="F199" s="725"/>
      <c r="G199" s="725"/>
      <c r="H199" s="725"/>
    </row>
    <row r="200" spans="1:8" x14ac:dyDescent="0.25">
      <c r="A200" s="725"/>
      <c r="B200" s="725"/>
      <c r="C200" s="725"/>
      <c r="D200" s="725"/>
      <c r="E200" s="725"/>
      <c r="F200" s="725"/>
      <c r="G200" s="725"/>
      <c r="H200" s="725"/>
    </row>
    <row r="201" spans="1:8" x14ac:dyDescent="0.25">
      <c r="A201" s="725"/>
      <c r="B201" s="725"/>
      <c r="C201" s="725"/>
      <c r="D201" s="725"/>
      <c r="E201" s="725"/>
      <c r="F201" s="725"/>
      <c r="G201" s="725"/>
      <c r="H201" s="725"/>
    </row>
    <row r="202" spans="1:8" x14ac:dyDescent="0.25">
      <c r="A202" s="725"/>
      <c r="B202" s="725"/>
      <c r="C202" s="725"/>
      <c r="D202" s="725"/>
      <c r="E202" s="725"/>
      <c r="F202" s="725"/>
      <c r="G202" s="725"/>
      <c r="H202" s="725"/>
    </row>
    <row r="203" spans="1:8" x14ac:dyDescent="0.25">
      <c r="A203" s="725"/>
      <c r="B203" s="725"/>
      <c r="C203" s="725"/>
      <c r="D203" s="725"/>
      <c r="E203" s="725"/>
      <c r="F203" s="725"/>
      <c r="G203" s="725"/>
      <c r="H203" s="725"/>
    </row>
    <row r="204" spans="1:8" x14ac:dyDescent="0.25">
      <c r="A204" s="725"/>
      <c r="B204" s="725"/>
      <c r="C204" s="725"/>
      <c r="D204" s="725"/>
      <c r="E204" s="725"/>
      <c r="F204" s="725"/>
      <c r="G204" s="725"/>
      <c r="H204" s="725"/>
    </row>
    <row r="205" spans="1:8" x14ac:dyDescent="0.25">
      <c r="A205" s="725"/>
      <c r="B205" s="725"/>
      <c r="C205" s="725"/>
      <c r="D205" s="725"/>
      <c r="E205" s="725"/>
      <c r="F205" s="725"/>
      <c r="G205" s="725"/>
      <c r="H205" s="725"/>
    </row>
    <row r="206" spans="1:8" x14ac:dyDescent="0.25">
      <c r="A206" s="725"/>
      <c r="B206" s="725"/>
      <c r="C206" s="725"/>
      <c r="D206" s="725"/>
      <c r="E206" s="725"/>
      <c r="F206" s="725"/>
      <c r="G206" s="725"/>
      <c r="H206" s="725"/>
    </row>
    <row r="207" spans="1:8" x14ac:dyDescent="0.25">
      <c r="A207" s="725"/>
      <c r="B207" s="725"/>
      <c r="C207" s="725"/>
      <c r="D207" s="725"/>
      <c r="E207" s="725"/>
      <c r="F207" s="725"/>
      <c r="G207" s="725"/>
      <c r="H207" s="725"/>
    </row>
    <row r="208" spans="1:8" x14ac:dyDescent="0.25">
      <c r="A208" s="725"/>
      <c r="B208" s="725"/>
      <c r="C208" s="725"/>
      <c r="D208" s="725"/>
      <c r="E208" s="725"/>
      <c r="F208" s="725"/>
      <c r="G208" s="725"/>
      <c r="H208" s="725"/>
    </row>
    <row r="209" spans="1:8" x14ac:dyDescent="0.25">
      <c r="A209" s="725"/>
      <c r="B209" s="725"/>
      <c r="C209" s="725"/>
      <c r="D209" s="725"/>
      <c r="E209" s="725"/>
      <c r="F209" s="725"/>
      <c r="G209" s="725"/>
      <c r="H209" s="725"/>
    </row>
    <row r="210" spans="1:8" x14ac:dyDescent="0.25">
      <c r="A210" s="725"/>
      <c r="B210" s="725"/>
      <c r="C210" s="725"/>
      <c r="D210" s="725"/>
      <c r="E210" s="725"/>
      <c r="F210" s="725"/>
      <c r="G210" s="725"/>
      <c r="H210" s="725"/>
    </row>
    <row r="211" spans="1:8" x14ac:dyDescent="0.25">
      <c r="A211" s="725"/>
      <c r="B211" s="725"/>
      <c r="C211" s="725"/>
      <c r="D211" s="725"/>
      <c r="E211" s="725"/>
      <c r="F211" s="725"/>
      <c r="G211" s="725"/>
      <c r="H211" s="725"/>
    </row>
    <row r="212" spans="1:8" x14ac:dyDescent="0.25">
      <c r="A212" s="725"/>
      <c r="B212" s="725"/>
      <c r="C212" s="725"/>
      <c r="D212" s="725"/>
      <c r="E212" s="725"/>
      <c r="F212" s="725"/>
      <c r="G212" s="725"/>
      <c r="H212" s="725"/>
    </row>
    <row r="213" spans="1:8" x14ac:dyDescent="0.25">
      <c r="A213" s="725"/>
      <c r="B213" s="725"/>
      <c r="C213" s="725"/>
      <c r="D213" s="725"/>
      <c r="E213" s="725"/>
      <c r="F213" s="725"/>
      <c r="G213" s="725"/>
      <c r="H213" s="725"/>
    </row>
    <row r="214" spans="1:8" x14ac:dyDescent="0.25">
      <c r="A214" s="725"/>
      <c r="B214" s="725"/>
      <c r="C214" s="725"/>
      <c r="D214" s="725"/>
      <c r="E214" s="725"/>
      <c r="F214" s="725"/>
      <c r="G214" s="725"/>
      <c r="H214" s="725"/>
    </row>
    <row r="215" spans="1:8" x14ac:dyDescent="0.25">
      <c r="A215" s="725"/>
      <c r="B215" s="725"/>
      <c r="C215" s="725"/>
      <c r="D215" s="725"/>
      <c r="E215" s="725"/>
      <c r="F215" s="725"/>
      <c r="G215" s="725"/>
      <c r="H215" s="725"/>
    </row>
    <row r="216" spans="1:8" x14ac:dyDescent="0.25">
      <c r="A216" s="725"/>
      <c r="B216" s="725"/>
      <c r="C216" s="725"/>
      <c r="D216" s="725"/>
      <c r="E216" s="725"/>
      <c r="F216" s="725"/>
      <c r="G216" s="725"/>
      <c r="H216" s="725"/>
    </row>
    <row r="217" spans="1:8" x14ac:dyDescent="0.25">
      <c r="A217" s="725"/>
      <c r="B217" s="725"/>
      <c r="C217" s="725"/>
      <c r="D217" s="725"/>
      <c r="E217" s="725"/>
      <c r="F217" s="725"/>
      <c r="G217" s="725"/>
      <c r="H217" s="725"/>
    </row>
    <row r="218" spans="1:8" x14ac:dyDescent="0.25">
      <c r="A218" s="725"/>
      <c r="B218" s="725"/>
      <c r="C218" s="725"/>
      <c r="D218" s="725"/>
      <c r="E218" s="725"/>
      <c r="F218" s="725"/>
      <c r="G218" s="725"/>
      <c r="H218" s="725"/>
    </row>
    <row r="219" spans="1:8" x14ac:dyDescent="0.25">
      <c r="A219" s="725"/>
      <c r="B219" s="725"/>
      <c r="C219" s="725"/>
      <c r="D219" s="725"/>
      <c r="E219" s="725"/>
      <c r="F219" s="725"/>
      <c r="G219" s="725"/>
      <c r="H219" s="725"/>
    </row>
    <row r="220" spans="1:8" x14ac:dyDescent="0.25">
      <c r="A220" s="725"/>
      <c r="B220" s="725"/>
      <c r="C220" s="725"/>
      <c r="D220" s="725"/>
      <c r="E220" s="725"/>
      <c r="F220" s="725"/>
      <c r="G220" s="725"/>
      <c r="H220" s="725"/>
    </row>
    <row r="221" spans="1:8" x14ac:dyDescent="0.25">
      <c r="A221" s="725"/>
      <c r="B221" s="725"/>
      <c r="C221" s="725"/>
      <c r="D221" s="725"/>
      <c r="E221" s="725"/>
      <c r="F221" s="725"/>
      <c r="G221" s="725"/>
      <c r="H221" s="725"/>
    </row>
    <row r="222" spans="1:8" x14ac:dyDescent="0.25">
      <c r="A222" s="725"/>
      <c r="B222" s="725"/>
      <c r="C222" s="725"/>
      <c r="D222" s="725"/>
      <c r="E222" s="725"/>
      <c r="F222" s="725"/>
      <c r="G222" s="725"/>
      <c r="H222" s="725"/>
    </row>
    <row r="223" spans="1:8" x14ac:dyDescent="0.25">
      <c r="A223" s="725"/>
      <c r="B223" s="725"/>
      <c r="C223" s="725"/>
      <c r="D223" s="725"/>
      <c r="E223" s="725"/>
      <c r="F223" s="725"/>
      <c r="G223" s="725"/>
      <c r="H223" s="725"/>
    </row>
    <row r="224" spans="1:8" x14ac:dyDescent="0.25">
      <c r="A224" s="725"/>
      <c r="B224" s="725"/>
      <c r="C224" s="725"/>
      <c r="D224" s="725"/>
      <c r="E224" s="725"/>
      <c r="F224" s="725"/>
      <c r="G224" s="725"/>
      <c r="H224" s="725"/>
    </row>
    <row r="225" spans="1:8" x14ac:dyDescent="0.25">
      <c r="A225" s="725"/>
      <c r="B225" s="725"/>
      <c r="C225" s="725"/>
      <c r="D225" s="725"/>
      <c r="E225" s="725"/>
      <c r="F225" s="725"/>
      <c r="G225" s="725"/>
      <c r="H225" s="725"/>
    </row>
    <row r="226" spans="1:8" x14ac:dyDescent="0.25">
      <c r="A226" s="725"/>
      <c r="B226" s="725"/>
      <c r="C226" s="725"/>
      <c r="D226" s="725"/>
      <c r="E226" s="725"/>
      <c r="F226" s="725"/>
      <c r="G226" s="725"/>
      <c r="H226" s="725"/>
    </row>
    <row r="227" spans="1:8" x14ac:dyDescent="0.25">
      <c r="A227" s="725"/>
      <c r="B227" s="725"/>
      <c r="C227" s="725"/>
      <c r="D227" s="725"/>
      <c r="E227" s="725"/>
      <c r="F227" s="725"/>
      <c r="G227" s="725"/>
      <c r="H227" s="725"/>
    </row>
    <row r="228" spans="1:8" x14ac:dyDescent="0.25">
      <c r="A228" s="725"/>
      <c r="B228" s="725"/>
      <c r="C228" s="725"/>
      <c r="D228" s="725"/>
      <c r="E228" s="725"/>
      <c r="F228" s="725"/>
      <c r="G228" s="725"/>
      <c r="H228" s="725"/>
    </row>
    <row r="229" spans="1:8" x14ac:dyDescent="0.25">
      <c r="A229" s="725"/>
      <c r="B229" s="725"/>
      <c r="C229" s="725"/>
      <c r="D229" s="725"/>
      <c r="E229" s="725"/>
      <c r="F229" s="725"/>
      <c r="G229" s="725"/>
      <c r="H229" s="725"/>
    </row>
    <row r="230" spans="1:8" x14ac:dyDescent="0.25">
      <c r="A230" s="725"/>
      <c r="B230" s="725"/>
      <c r="C230" s="725"/>
      <c r="D230" s="725"/>
      <c r="E230" s="725"/>
      <c r="F230" s="725"/>
      <c r="G230" s="725"/>
      <c r="H230" s="725"/>
    </row>
    <row r="231" spans="1:8" x14ac:dyDescent="0.25">
      <c r="A231" s="725"/>
      <c r="B231" s="725"/>
      <c r="C231" s="725"/>
      <c r="D231" s="725"/>
      <c r="E231" s="725"/>
      <c r="F231" s="725"/>
      <c r="G231" s="725"/>
      <c r="H231" s="725"/>
    </row>
    <row r="232" spans="1:8" x14ac:dyDescent="0.25">
      <c r="A232" s="725"/>
      <c r="B232" s="725"/>
      <c r="C232" s="725"/>
      <c r="D232" s="725"/>
      <c r="E232" s="725"/>
      <c r="F232" s="725"/>
      <c r="G232" s="725"/>
      <c r="H232" s="725"/>
    </row>
    <row r="233" spans="1:8" x14ac:dyDescent="0.25">
      <c r="A233" s="725"/>
      <c r="B233" s="725"/>
      <c r="C233" s="725"/>
      <c r="D233" s="725"/>
      <c r="E233" s="725"/>
      <c r="F233" s="725"/>
      <c r="G233" s="725"/>
      <c r="H233" s="725"/>
    </row>
    <row r="234" spans="1:8" x14ac:dyDescent="0.25">
      <c r="A234" s="725"/>
      <c r="B234" s="725"/>
      <c r="C234" s="725"/>
      <c r="D234" s="725"/>
      <c r="E234" s="725"/>
      <c r="F234" s="725"/>
      <c r="G234" s="725"/>
      <c r="H234" s="725"/>
    </row>
    <row r="235" spans="1:8" x14ac:dyDescent="0.25">
      <c r="A235" s="725"/>
      <c r="B235" s="725"/>
      <c r="C235" s="725"/>
      <c r="D235" s="725"/>
      <c r="E235" s="725"/>
      <c r="F235" s="725"/>
      <c r="G235" s="725"/>
      <c r="H235" s="725"/>
    </row>
    <row r="236" spans="1:8" x14ac:dyDescent="0.25">
      <c r="A236" s="725"/>
      <c r="B236" s="725"/>
      <c r="C236" s="725"/>
      <c r="D236" s="725"/>
      <c r="E236" s="725"/>
      <c r="F236" s="725"/>
      <c r="G236" s="725"/>
      <c r="H236" s="725"/>
    </row>
    <row r="237" spans="1:8" x14ac:dyDescent="0.25">
      <c r="A237" s="725"/>
      <c r="B237" s="725"/>
      <c r="C237" s="725"/>
      <c r="D237" s="725"/>
      <c r="E237" s="725"/>
      <c r="F237" s="725"/>
      <c r="G237" s="725"/>
      <c r="H237" s="725"/>
    </row>
    <row r="238" spans="1:8" x14ac:dyDescent="0.25">
      <c r="A238" s="725"/>
      <c r="B238" s="725"/>
      <c r="C238" s="725"/>
      <c r="D238" s="725"/>
      <c r="E238" s="725"/>
      <c r="F238" s="725"/>
      <c r="G238" s="725"/>
      <c r="H238" s="725"/>
    </row>
    <row r="239" spans="1:8" x14ac:dyDescent="0.25">
      <c r="A239" s="725"/>
      <c r="B239" s="725"/>
      <c r="C239" s="725"/>
      <c r="D239" s="725"/>
      <c r="E239" s="725"/>
      <c r="F239" s="725"/>
      <c r="G239" s="725"/>
      <c r="H239" s="725"/>
    </row>
    <row r="240" spans="1:8" x14ac:dyDescent="0.25">
      <c r="A240" s="725"/>
      <c r="B240" s="725"/>
      <c r="C240" s="725"/>
      <c r="D240" s="725"/>
      <c r="E240" s="725"/>
      <c r="F240" s="725"/>
      <c r="G240" s="725"/>
      <c r="H240" s="725"/>
    </row>
    <row r="241" spans="1:8" x14ac:dyDescent="0.25">
      <c r="A241" s="725"/>
      <c r="B241" s="725"/>
      <c r="C241" s="725"/>
      <c r="D241" s="725"/>
      <c r="E241" s="725"/>
      <c r="F241" s="725"/>
      <c r="G241" s="725"/>
      <c r="H241" s="725"/>
    </row>
    <row r="242" spans="1:8" x14ac:dyDescent="0.25">
      <c r="A242" s="725"/>
      <c r="B242" s="725"/>
      <c r="C242" s="725"/>
      <c r="D242" s="725"/>
      <c r="E242" s="725"/>
      <c r="F242" s="725"/>
      <c r="G242" s="725"/>
      <c r="H242" s="725"/>
    </row>
    <row r="243" spans="1:8" x14ac:dyDescent="0.25">
      <c r="A243" s="725"/>
      <c r="B243" s="725"/>
      <c r="C243" s="725"/>
      <c r="D243" s="725"/>
      <c r="E243" s="725"/>
      <c r="F243" s="725"/>
      <c r="G243" s="725"/>
      <c r="H243" s="725"/>
    </row>
    <row r="244" spans="1:8" x14ac:dyDescent="0.25">
      <c r="A244" s="725"/>
      <c r="B244" s="725"/>
      <c r="C244" s="725"/>
      <c r="D244" s="725"/>
      <c r="E244" s="725"/>
      <c r="F244" s="725"/>
      <c r="G244" s="725"/>
      <c r="H244" s="725"/>
    </row>
    <row r="245" spans="1:8" x14ac:dyDescent="0.25">
      <c r="A245" s="725"/>
      <c r="B245" s="725"/>
      <c r="C245" s="725"/>
      <c r="D245" s="725"/>
      <c r="E245" s="725"/>
      <c r="F245" s="725"/>
      <c r="G245" s="725"/>
      <c r="H245" s="725"/>
    </row>
    <row r="246" spans="1:8" x14ac:dyDescent="0.25">
      <c r="A246" s="725"/>
      <c r="B246" s="725"/>
      <c r="C246" s="725"/>
      <c r="D246" s="725"/>
      <c r="E246" s="725"/>
      <c r="F246" s="725"/>
      <c r="G246" s="725"/>
      <c r="H246" s="725"/>
    </row>
    <row r="247" spans="1:8" x14ac:dyDescent="0.25">
      <c r="A247" s="725"/>
      <c r="B247" s="725"/>
      <c r="C247" s="725"/>
      <c r="D247" s="725"/>
      <c r="E247" s="725"/>
      <c r="F247" s="725"/>
      <c r="G247" s="725"/>
      <c r="H247" s="725"/>
    </row>
    <row r="248" spans="1:8" x14ac:dyDescent="0.25">
      <c r="A248" s="725"/>
      <c r="B248" s="725"/>
      <c r="C248" s="725"/>
      <c r="D248" s="725"/>
      <c r="E248" s="725"/>
      <c r="F248" s="725"/>
      <c r="G248" s="725"/>
      <c r="H248" s="725"/>
    </row>
    <row r="249" spans="1:8" x14ac:dyDescent="0.25">
      <c r="A249" s="725"/>
      <c r="B249" s="725"/>
      <c r="C249" s="725"/>
      <c r="D249" s="725"/>
      <c r="E249" s="725"/>
      <c r="F249" s="725"/>
      <c r="G249" s="725"/>
      <c r="H249" s="725"/>
    </row>
    <row r="250" spans="1:8" x14ac:dyDescent="0.25">
      <c r="A250" s="725"/>
      <c r="B250" s="725"/>
      <c r="C250" s="725"/>
      <c r="D250" s="725"/>
      <c r="E250" s="725"/>
      <c r="F250" s="725"/>
      <c r="G250" s="725"/>
      <c r="H250" s="725"/>
    </row>
    <row r="251" spans="1:8" x14ac:dyDescent="0.25">
      <c r="A251" s="725"/>
      <c r="B251" s="725"/>
      <c r="C251" s="725"/>
      <c r="D251" s="725"/>
      <c r="E251" s="725"/>
      <c r="F251" s="725"/>
      <c r="G251" s="725"/>
      <c r="H251" s="725"/>
    </row>
    <row r="252" spans="1:8" x14ac:dyDescent="0.25">
      <c r="A252" s="725"/>
      <c r="B252" s="725"/>
      <c r="C252" s="725"/>
      <c r="D252" s="725"/>
      <c r="E252" s="725"/>
      <c r="F252" s="725"/>
      <c r="G252" s="725"/>
      <c r="H252" s="725"/>
    </row>
    <row r="253" spans="1:8" x14ac:dyDescent="0.25">
      <c r="A253" s="725"/>
      <c r="B253" s="725"/>
      <c r="C253" s="725"/>
      <c r="D253" s="725"/>
      <c r="E253" s="725"/>
      <c r="F253" s="725"/>
      <c r="G253" s="725"/>
      <c r="H253" s="725"/>
    </row>
    <row r="254" spans="1:8" x14ac:dyDescent="0.25">
      <c r="A254" s="725"/>
      <c r="B254" s="725"/>
      <c r="C254" s="725"/>
      <c r="D254" s="725"/>
      <c r="E254" s="725"/>
      <c r="F254" s="725"/>
      <c r="G254" s="725"/>
      <c r="H254" s="725"/>
    </row>
    <row r="255" spans="1:8" x14ac:dyDescent="0.25">
      <c r="A255" s="725"/>
      <c r="B255" s="725"/>
      <c r="C255" s="725"/>
      <c r="D255" s="725"/>
      <c r="E255" s="725"/>
      <c r="F255" s="725"/>
      <c r="G255" s="725"/>
      <c r="H255" s="725"/>
    </row>
    <row r="256" spans="1:8" x14ac:dyDescent="0.25">
      <c r="A256" s="725"/>
      <c r="B256" s="725"/>
      <c r="C256" s="725"/>
      <c r="D256" s="725"/>
      <c r="E256" s="725"/>
      <c r="F256" s="725"/>
      <c r="G256" s="725"/>
      <c r="H256" s="725"/>
    </row>
    <row r="257" spans="1:8" x14ac:dyDescent="0.25">
      <c r="A257" s="725"/>
      <c r="B257" s="725"/>
      <c r="C257" s="725"/>
      <c r="D257" s="725"/>
      <c r="E257" s="725"/>
      <c r="F257" s="725"/>
      <c r="G257" s="725"/>
      <c r="H257" s="725"/>
    </row>
    <row r="258" spans="1:8" x14ac:dyDescent="0.25">
      <c r="A258" s="725"/>
      <c r="B258" s="725"/>
      <c r="C258" s="725"/>
      <c r="D258" s="725"/>
      <c r="E258" s="725"/>
      <c r="F258" s="725"/>
      <c r="G258" s="725"/>
      <c r="H258" s="725"/>
    </row>
    <row r="259" spans="1:8" x14ac:dyDescent="0.25">
      <c r="A259" s="725"/>
      <c r="B259" s="725"/>
      <c r="C259" s="725"/>
      <c r="D259" s="725"/>
      <c r="E259" s="725"/>
      <c r="F259" s="725"/>
      <c r="G259" s="725"/>
      <c r="H259" s="725"/>
    </row>
    <row r="260" spans="1:8" x14ac:dyDescent="0.25">
      <c r="A260" s="725"/>
      <c r="B260" s="725"/>
      <c r="C260" s="725"/>
      <c r="D260" s="725"/>
      <c r="E260" s="725"/>
      <c r="F260" s="725"/>
      <c r="G260" s="725"/>
      <c r="H260" s="725"/>
    </row>
    <row r="261" spans="1:8" x14ac:dyDescent="0.25">
      <c r="A261" s="725"/>
      <c r="B261" s="725"/>
      <c r="C261" s="725"/>
      <c r="D261" s="725"/>
      <c r="E261" s="725"/>
      <c r="F261" s="725"/>
      <c r="G261" s="725"/>
      <c r="H261" s="725"/>
    </row>
    <row r="262" spans="1:8" x14ac:dyDescent="0.25">
      <c r="A262" s="725"/>
      <c r="B262" s="725"/>
      <c r="C262" s="725"/>
      <c r="D262" s="725"/>
      <c r="E262" s="725"/>
      <c r="F262" s="725"/>
      <c r="G262" s="725"/>
      <c r="H262" s="725"/>
    </row>
    <row r="263" spans="1:8" x14ac:dyDescent="0.25">
      <c r="A263" s="725"/>
      <c r="B263" s="725"/>
      <c r="C263" s="725"/>
      <c r="D263" s="725"/>
      <c r="E263" s="725"/>
      <c r="F263" s="725"/>
      <c r="G263" s="725"/>
      <c r="H263" s="725"/>
    </row>
    <row r="264" spans="1:8" x14ac:dyDescent="0.25">
      <c r="A264" s="725"/>
      <c r="B264" s="725"/>
      <c r="C264" s="725"/>
      <c r="D264" s="725"/>
      <c r="E264" s="725"/>
      <c r="F264" s="725"/>
      <c r="G264" s="725"/>
      <c r="H264" s="725"/>
    </row>
    <row r="265" spans="1:8" x14ac:dyDescent="0.25">
      <c r="A265" s="725"/>
      <c r="B265" s="725"/>
      <c r="C265" s="725"/>
      <c r="D265" s="725"/>
      <c r="E265" s="725"/>
      <c r="F265" s="725"/>
      <c r="G265" s="725"/>
      <c r="H265" s="725"/>
    </row>
    <row r="266" spans="1:8" x14ac:dyDescent="0.25">
      <c r="A266" s="725"/>
      <c r="B266" s="725"/>
      <c r="C266" s="725"/>
      <c r="D266" s="725"/>
      <c r="E266" s="725"/>
      <c r="F266" s="725"/>
      <c r="G266" s="725"/>
      <c r="H266" s="725"/>
    </row>
    <row r="267" spans="1:8" x14ac:dyDescent="0.25">
      <c r="A267" s="725"/>
      <c r="B267" s="725"/>
      <c r="C267" s="725"/>
      <c r="D267" s="725"/>
      <c r="E267" s="725"/>
      <c r="F267" s="725"/>
      <c r="G267" s="725"/>
      <c r="H267" s="725"/>
    </row>
    <row r="268" spans="1:8" x14ac:dyDescent="0.25">
      <c r="A268" s="725"/>
      <c r="B268" s="725"/>
      <c r="C268" s="725"/>
      <c r="D268" s="725"/>
      <c r="E268" s="725"/>
      <c r="F268" s="725"/>
      <c r="G268" s="725"/>
      <c r="H268" s="725"/>
    </row>
    <row r="269" spans="1:8" x14ac:dyDescent="0.25">
      <c r="A269" s="725"/>
      <c r="B269" s="725"/>
      <c r="C269" s="725"/>
      <c r="D269" s="725"/>
      <c r="E269" s="725"/>
      <c r="F269" s="725"/>
      <c r="G269" s="725"/>
      <c r="H269" s="725"/>
    </row>
    <row r="270" spans="1:8" x14ac:dyDescent="0.25">
      <c r="A270" s="725"/>
      <c r="B270" s="725"/>
      <c r="C270" s="725"/>
      <c r="D270" s="725"/>
      <c r="E270" s="725"/>
      <c r="F270" s="725"/>
      <c r="G270" s="725"/>
      <c r="H270" s="725"/>
    </row>
    <row r="271" spans="1:8" x14ac:dyDescent="0.25">
      <c r="A271" s="725"/>
      <c r="B271" s="725"/>
      <c r="C271" s="725"/>
      <c r="D271" s="725"/>
      <c r="E271" s="725"/>
      <c r="F271" s="725"/>
      <c r="G271" s="725"/>
      <c r="H271" s="725"/>
    </row>
    <row r="272" spans="1:8" x14ac:dyDescent="0.25">
      <c r="A272" s="725"/>
      <c r="B272" s="725"/>
      <c r="C272" s="725"/>
      <c r="D272" s="725"/>
      <c r="E272" s="725"/>
      <c r="F272" s="725"/>
      <c r="G272" s="725"/>
      <c r="H272" s="725"/>
    </row>
    <row r="273" spans="1:8" x14ac:dyDescent="0.25">
      <c r="A273" s="725"/>
      <c r="B273" s="725"/>
      <c r="C273" s="725"/>
      <c r="D273" s="725"/>
      <c r="E273" s="725"/>
      <c r="F273" s="725"/>
      <c r="G273" s="725"/>
      <c r="H273" s="725"/>
    </row>
    <row r="274" spans="1:8" x14ac:dyDescent="0.25">
      <c r="A274" s="725"/>
      <c r="B274" s="725"/>
      <c r="C274" s="725"/>
      <c r="D274" s="725"/>
      <c r="E274" s="725"/>
      <c r="F274" s="725"/>
      <c r="G274" s="725"/>
      <c r="H274" s="725"/>
    </row>
    <row r="275" spans="1:8" x14ac:dyDescent="0.25">
      <c r="A275" s="725"/>
      <c r="B275" s="725"/>
      <c r="C275" s="725"/>
      <c r="D275" s="725"/>
      <c r="E275" s="725"/>
      <c r="F275" s="725"/>
      <c r="G275" s="725"/>
      <c r="H275" s="725"/>
    </row>
    <row r="276" spans="1:8" x14ac:dyDescent="0.25">
      <c r="A276" s="725"/>
      <c r="B276" s="725"/>
      <c r="C276" s="725"/>
      <c r="D276" s="725"/>
      <c r="E276" s="725"/>
      <c r="F276" s="725"/>
      <c r="G276" s="725"/>
      <c r="H276" s="725"/>
    </row>
    <row r="277" spans="1:8" x14ac:dyDescent="0.25">
      <c r="A277" s="725"/>
      <c r="B277" s="725"/>
      <c r="C277" s="725"/>
      <c r="D277" s="725"/>
      <c r="E277" s="725"/>
      <c r="F277" s="725"/>
      <c r="G277" s="725"/>
      <c r="H277" s="725"/>
    </row>
    <row r="278" spans="1:8" x14ac:dyDescent="0.25">
      <c r="A278" s="725"/>
      <c r="B278" s="725"/>
      <c r="C278" s="725"/>
      <c r="D278" s="725"/>
      <c r="E278" s="725"/>
      <c r="F278" s="725"/>
      <c r="G278" s="725"/>
      <c r="H278" s="725"/>
    </row>
    <row r="279" spans="1:8" x14ac:dyDescent="0.25">
      <c r="A279" s="725"/>
      <c r="B279" s="725"/>
      <c r="C279" s="725"/>
      <c r="D279" s="725"/>
      <c r="E279" s="725"/>
      <c r="F279" s="725"/>
      <c r="G279" s="725"/>
      <c r="H279" s="725"/>
    </row>
    <row r="280" spans="1:8" x14ac:dyDescent="0.25">
      <c r="A280" s="725"/>
      <c r="B280" s="725"/>
      <c r="C280" s="725"/>
      <c r="D280" s="725"/>
      <c r="E280" s="725"/>
      <c r="F280" s="725"/>
      <c r="G280" s="725"/>
      <c r="H280" s="725"/>
    </row>
    <row r="281" spans="1:8" x14ac:dyDescent="0.25">
      <c r="A281" s="725"/>
      <c r="B281" s="725"/>
      <c r="C281" s="725"/>
      <c r="D281" s="725"/>
      <c r="E281" s="725"/>
      <c r="F281" s="725"/>
      <c r="G281" s="725"/>
      <c r="H281" s="725"/>
    </row>
    <row r="282" spans="1:8" x14ac:dyDescent="0.25">
      <c r="A282" s="725"/>
      <c r="B282" s="725"/>
      <c r="C282" s="725"/>
      <c r="D282" s="725"/>
      <c r="E282" s="725"/>
      <c r="F282" s="725"/>
      <c r="G282" s="725"/>
      <c r="H282" s="725"/>
    </row>
    <row r="283" spans="1:8" x14ac:dyDescent="0.25">
      <c r="A283" s="725"/>
      <c r="B283" s="725"/>
      <c r="C283" s="725"/>
      <c r="D283" s="725"/>
      <c r="E283" s="725"/>
      <c r="F283" s="725"/>
      <c r="G283" s="725"/>
      <c r="H283" s="725"/>
    </row>
    <row r="284" spans="1:8" x14ac:dyDescent="0.25">
      <c r="A284" s="725"/>
      <c r="B284" s="725"/>
      <c r="C284" s="725"/>
      <c r="D284" s="725"/>
      <c r="E284" s="725"/>
      <c r="F284" s="725"/>
      <c r="G284" s="725"/>
      <c r="H284" s="725"/>
    </row>
    <row r="285" spans="1:8" x14ac:dyDescent="0.25">
      <c r="A285" s="725"/>
      <c r="B285" s="725"/>
      <c r="C285" s="725"/>
      <c r="D285" s="725"/>
      <c r="E285" s="725"/>
      <c r="F285" s="725"/>
      <c r="G285" s="725"/>
      <c r="H285" s="725"/>
    </row>
  </sheetData>
  <sheetProtection algorithmName="SHA-512" hashValue="nwC/uBhmL3vrc4mTtydjzsI5Whi8sCDmLdhhAZqh2d8sWtVHF4YlL5TMfB/hNMJ4SmB2/RpKPAnmpbWfqIkpBg==" saltValue="JQLa0rVsx1oIs+htotNvrQ==" spinCount="100000" sheet="1" objects="1" scenarios="1" selectLockedCells="1"/>
  <mergeCells count="134">
    <mergeCell ref="F166:I166"/>
    <mergeCell ref="A164:I164"/>
    <mergeCell ref="B162:I162"/>
    <mergeCell ref="B124:G124"/>
    <mergeCell ref="A166:D166"/>
    <mergeCell ref="B111:I111"/>
    <mergeCell ref="B152:I152"/>
    <mergeCell ref="A153:H153"/>
    <mergeCell ref="A154:F154"/>
    <mergeCell ref="C156:I156"/>
    <mergeCell ref="A160:I160"/>
    <mergeCell ref="A163:H163"/>
    <mergeCell ref="A143:H143"/>
    <mergeCell ref="B118:G118"/>
    <mergeCell ref="B119:I119"/>
    <mergeCell ref="B120:I120"/>
    <mergeCell ref="B121:I121"/>
    <mergeCell ref="B125:I125"/>
    <mergeCell ref="B127:I127"/>
    <mergeCell ref="B128:I128"/>
    <mergeCell ref="B126:I126"/>
    <mergeCell ref="B142:I142"/>
    <mergeCell ref="B131:G131"/>
    <mergeCell ref="B133:I133"/>
    <mergeCell ref="C158:D158"/>
    <mergeCell ref="H158:I158"/>
    <mergeCell ref="B134:I134"/>
    <mergeCell ref="B135:I135"/>
    <mergeCell ref="B136:I136"/>
    <mergeCell ref="B105:I105"/>
    <mergeCell ref="B101:I101"/>
    <mergeCell ref="B91:I91"/>
    <mergeCell ref="D3:E3"/>
    <mergeCell ref="F60:I60"/>
    <mergeCell ref="B99:I99"/>
    <mergeCell ref="E83:I83"/>
    <mergeCell ref="B102:I102"/>
    <mergeCell ref="B104:G104"/>
    <mergeCell ref="B94:I94"/>
    <mergeCell ref="B96:I96"/>
    <mergeCell ref="B85:I85"/>
    <mergeCell ref="B93:G93"/>
    <mergeCell ref="A21:I21"/>
    <mergeCell ref="A25:I25"/>
    <mergeCell ref="B15:I15"/>
    <mergeCell ref="B23:I23"/>
    <mergeCell ref="A49:G49"/>
    <mergeCell ref="A86:H86"/>
    <mergeCell ref="B100:I100"/>
    <mergeCell ref="A39:D39"/>
    <mergeCell ref="A40:C40"/>
    <mergeCell ref="B64:I64"/>
    <mergeCell ref="A5:I5"/>
    <mergeCell ref="B106:I106"/>
    <mergeCell ref="B88:I88"/>
    <mergeCell ref="B107:I107"/>
    <mergeCell ref="B110:G110"/>
    <mergeCell ref="B98:G98"/>
    <mergeCell ref="B95:I95"/>
    <mergeCell ref="A35:G35"/>
    <mergeCell ref="A47:G47"/>
    <mergeCell ref="B7:I7"/>
    <mergeCell ref="A9:I9"/>
    <mergeCell ref="A13:I13"/>
    <mergeCell ref="B11:I11"/>
    <mergeCell ref="B19:I19"/>
    <mergeCell ref="B81:G81"/>
    <mergeCell ref="H47:I47"/>
    <mergeCell ref="B51:I51"/>
    <mergeCell ref="F54:I54"/>
    <mergeCell ref="B63:I63"/>
    <mergeCell ref="A14:H14"/>
    <mergeCell ref="A22:H22"/>
    <mergeCell ref="B29:I29"/>
    <mergeCell ref="A18:H18"/>
    <mergeCell ref="A28:H28"/>
    <mergeCell ref="A17:I17"/>
    <mergeCell ref="CD7:CJ7"/>
    <mergeCell ref="CL7:CR7"/>
    <mergeCell ref="AH7:AN7"/>
    <mergeCell ref="AP7:AV7"/>
    <mergeCell ref="AX7:BD7"/>
    <mergeCell ref="BF7:BL7"/>
    <mergeCell ref="J7:P7"/>
    <mergeCell ref="R7:X7"/>
    <mergeCell ref="Z7:AF7"/>
    <mergeCell ref="IP7:IV7"/>
    <mergeCell ref="A16:H16"/>
    <mergeCell ref="A20:H20"/>
    <mergeCell ref="HJ7:HP7"/>
    <mergeCell ref="HZ7:IF7"/>
    <mergeCell ref="IH7:IN7"/>
    <mergeCell ref="GD7:GJ7"/>
    <mergeCell ref="GL7:GR7"/>
    <mergeCell ref="GT7:GZ7"/>
    <mergeCell ref="HB7:HH7"/>
    <mergeCell ref="FF7:FL7"/>
    <mergeCell ref="FN7:FT7"/>
    <mergeCell ref="FV7:GB7"/>
    <mergeCell ref="HR7:HX7"/>
    <mergeCell ref="DZ7:EF7"/>
    <mergeCell ref="EH7:EN7"/>
    <mergeCell ref="EP7:EV7"/>
    <mergeCell ref="EX7:FD7"/>
    <mergeCell ref="CT7:CZ7"/>
    <mergeCell ref="DB7:DH7"/>
    <mergeCell ref="DJ7:DP7"/>
    <mergeCell ref="DR7:DX7"/>
    <mergeCell ref="BN7:BT7"/>
    <mergeCell ref="BV7:CB7"/>
    <mergeCell ref="F58:I58"/>
    <mergeCell ref="F56:I56"/>
    <mergeCell ref="A1:I1"/>
    <mergeCell ref="A6:H6"/>
    <mergeCell ref="A8:H8"/>
    <mergeCell ref="A12:H12"/>
    <mergeCell ref="A10:H10"/>
    <mergeCell ref="B87:G87"/>
    <mergeCell ref="B90:G90"/>
    <mergeCell ref="A52:H52"/>
    <mergeCell ref="A24:H24"/>
    <mergeCell ref="B72:I72"/>
    <mergeCell ref="B73:I73"/>
    <mergeCell ref="B75:G75"/>
    <mergeCell ref="B68:G68"/>
    <mergeCell ref="B70:G70"/>
    <mergeCell ref="B77:G77"/>
    <mergeCell ref="B79:G79"/>
    <mergeCell ref="F66:I66"/>
    <mergeCell ref="A30:H30"/>
    <mergeCell ref="A33:H33"/>
    <mergeCell ref="A36:H36"/>
    <mergeCell ref="F32:G32"/>
    <mergeCell ref="A32:D32"/>
  </mergeCells>
  <phoneticPr fontId="2" type="noConversion"/>
  <pageMargins left="0.59055118110236227" right="0.39370078740157483" top="0.51181102362204722" bottom="0.31496062992125984" header="0.39370078740157483" footer="0.51181102362204722"/>
  <pageSetup paperSize="9" scale="94" fitToHeight="3" orientation="portrait" r:id="rId1"/>
  <rowBreaks count="1" manualBreakCount="1">
    <brk id="49" max="16383" man="1"/>
  </rowBreaks>
  <customProperties>
    <customPr name="SSCSheetTrackingNo"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fitToPage="1"/>
  </sheetPr>
  <dimension ref="A1:IV282"/>
  <sheetViews>
    <sheetView showGridLines="0" zoomScale="150" zoomScaleNormal="150" workbookViewId="0">
      <selection activeCell="H79" sqref="H79"/>
    </sheetView>
  </sheetViews>
  <sheetFormatPr baseColWidth="10" defaultRowHeight="13.2" x14ac:dyDescent="0.25"/>
  <cols>
    <col min="1" max="1" width="5.44140625" style="33" customWidth="1"/>
    <col min="2" max="7" width="11.44140625" style="33"/>
    <col min="8" max="9" width="10.109375" style="33" customWidth="1"/>
    <col min="10" max="256" width="11.44140625" style="33"/>
    <col min="257" max="257" width="5.44140625" style="33" customWidth="1"/>
    <col min="258" max="263" width="11.44140625" style="33"/>
    <col min="264" max="265" width="10.109375" style="33" customWidth="1"/>
    <col min="266" max="512" width="11.44140625" style="33"/>
    <col min="513" max="513" width="5.44140625" style="33" customWidth="1"/>
    <col min="514" max="519" width="11.44140625" style="33"/>
    <col min="520" max="521" width="10.109375" style="33" customWidth="1"/>
    <col min="522" max="768" width="11.44140625" style="33"/>
    <col min="769" max="769" width="5.44140625" style="33" customWidth="1"/>
    <col min="770" max="775" width="11.44140625" style="33"/>
    <col min="776" max="777" width="10.109375" style="33" customWidth="1"/>
    <col min="778" max="1024" width="11.44140625" style="33"/>
    <col min="1025" max="1025" width="5.44140625" style="33" customWidth="1"/>
    <col min="1026" max="1031" width="11.44140625" style="33"/>
    <col min="1032" max="1033" width="10.109375" style="33" customWidth="1"/>
    <col min="1034" max="1280" width="11.44140625" style="33"/>
    <col min="1281" max="1281" width="5.44140625" style="33" customWidth="1"/>
    <col min="1282" max="1287" width="11.44140625" style="33"/>
    <col min="1288" max="1289" width="10.109375" style="33" customWidth="1"/>
    <col min="1290" max="1536" width="11.44140625" style="33"/>
    <col min="1537" max="1537" width="5.44140625" style="33" customWidth="1"/>
    <col min="1538" max="1543" width="11.44140625" style="33"/>
    <col min="1544" max="1545" width="10.109375" style="33" customWidth="1"/>
    <col min="1546" max="1792" width="11.44140625" style="33"/>
    <col min="1793" max="1793" width="5.44140625" style="33" customWidth="1"/>
    <col min="1794" max="1799" width="11.44140625" style="33"/>
    <col min="1800" max="1801" width="10.109375" style="33" customWidth="1"/>
    <col min="1802" max="2048" width="11.44140625" style="33"/>
    <col min="2049" max="2049" width="5.44140625" style="33" customWidth="1"/>
    <col min="2050" max="2055" width="11.44140625" style="33"/>
    <col min="2056" max="2057" width="10.109375" style="33" customWidth="1"/>
    <col min="2058" max="2304" width="11.44140625" style="33"/>
    <col min="2305" max="2305" width="5.44140625" style="33" customWidth="1"/>
    <col min="2306" max="2311" width="11.44140625" style="33"/>
    <col min="2312" max="2313" width="10.109375" style="33" customWidth="1"/>
    <col min="2314" max="2560" width="11.44140625" style="33"/>
    <col min="2561" max="2561" width="5.44140625" style="33" customWidth="1"/>
    <col min="2562" max="2567" width="11.44140625" style="33"/>
    <col min="2568" max="2569" width="10.109375" style="33" customWidth="1"/>
    <col min="2570" max="2816" width="11.44140625" style="33"/>
    <col min="2817" max="2817" width="5.44140625" style="33" customWidth="1"/>
    <col min="2818" max="2823" width="11.44140625" style="33"/>
    <col min="2824" max="2825" width="10.109375" style="33" customWidth="1"/>
    <col min="2826" max="3072" width="11.44140625" style="33"/>
    <col min="3073" max="3073" width="5.44140625" style="33" customWidth="1"/>
    <col min="3074" max="3079" width="11.44140625" style="33"/>
    <col min="3080" max="3081" width="10.109375" style="33" customWidth="1"/>
    <col min="3082" max="3328" width="11.44140625" style="33"/>
    <col min="3329" max="3329" width="5.44140625" style="33" customWidth="1"/>
    <col min="3330" max="3335" width="11.44140625" style="33"/>
    <col min="3336" max="3337" width="10.109375" style="33" customWidth="1"/>
    <col min="3338" max="3584" width="11.44140625" style="33"/>
    <col min="3585" max="3585" width="5.44140625" style="33" customWidth="1"/>
    <col min="3586" max="3591" width="11.44140625" style="33"/>
    <col min="3592" max="3593" width="10.109375" style="33" customWidth="1"/>
    <col min="3594" max="3840" width="11.44140625" style="33"/>
    <col min="3841" max="3841" width="5.44140625" style="33" customWidth="1"/>
    <col min="3842" max="3847" width="11.44140625" style="33"/>
    <col min="3848" max="3849" width="10.109375" style="33" customWidth="1"/>
    <col min="3850" max="4096" width="11.44140625" style="33"/>
    <col min="4097" max="4097" width="5.44140625" style="33" customWidth="1"/>
    <col min="4098" max="4103" width="11.44140625" style="33"/>
    <col min="4104" max="4105" width="10.109375" style="33" customWidth="1"/>
    <col min="4106" max="4352" width="11.44140625" style="33"/>
    <col min="4353" max="4353" width="5.44140625" style="33" customWidth="1"/>
    <col min="4354" max="4359" width="11.44140625" style="33"/>
    <col min="4360" max="4361" width="10.109375" style="33" customWidth="1"/>
    <col min="4362" max="4608" width="11.44140625" style="33"/>
    <col min="4609" max="4609" width="5.44140625" style="33" customWidth="1"/>
    <col min="4610" max="4615" width="11.44140625" style="33"/>
    <col min="4616" max="4617" width="10.109375" style="33" customWidth="1"/>
    <col min="4618" max="4864" width="11.44140625" style="33"/>
    <col min="4865" max="4865" width="5.44140625" style="33" customWidth="1"/>
    <col min="4866" max="4871" width="11.44140625" style="33"/>
    <col min="4872" max="4873" width="10.109375" style="33" customWidth="1"/>
    <col min="4874" max="5120" width="11.44140625" style="33"/>
    <col min="5121" max="5121" width="5.44140625" style="33" customWidth="1"/>
    <col min="5122" max="5127" width="11.44140625" style="33"/>
    <col min="5128" max="5129" width="10.109375" style="33" customWidth="1"/>
    <col min="5130" max="5376" width="11.44140625" style="33"/>
    <col min="5377" max="5377" width="5.44140625" style="33" customWidth="1"/>
    <col min="5378" max="5383" width="11.44140625" style="33"/>
    <col min="5384" max="5385" width="10.109375" style="33" customWidth="1"/>
    <col min="5386" max="5632" width="11.44140625" style="33"/>
    <col min="5633" max="5633" width="5.44140625" style="33" customWidth="1"/>
    <col min="5634" max="5639" width="11.44140625" style="33"/>
    <col min="5640" max="5641" width="10.109375" style="33" customWidth="1"/>
    <col min="5642" max="5888" width="11.44140625" style="33"/>
    <col min="5889" max="5889" width="5.44140625" style="33" customWidth="1"/>
    <col min="5890" max="5895" width="11.44140625" style="33"/>
    <col min="5896" max="5897" width="10.109375" style="33" customWidth="1"/>
    <col min="5898" max="6144" width="11.44140625" style="33"/>
    <col min="6145" max="6145" width="5.44140625" style="33" customWidth="1"/>
    <col min="6146" max="6151" width="11.44140625" style="33"/>
    <col min="6152" max="6153" width="10.109375" style="33" customWidth="1"/>
    <col min="6154" max="6400" width="11.44140625" style="33"/>
    <col min="6401" max="6401" width="5.44140625" style="33" customWidth="1"/>
    <col min="6402" max="6407" width="11.44140625" style="33"/>
    <col min="6408" max="6409" width="10.109375" style="33" customWidth="1"/>
    <col min="6410" max="6656" width="11.44140625" style="33"/>
    <col min="6657" max="6657" width="5.44140625" style="33" customWidth="1"/>
    <col min="6658" max="6663" width="11.44140625" style="33"/>
    <col min="6664" max="6665" width="10.109375" style="33" customWidth="1"/>
    <col min="6666" max="6912" width="11.44140625" style="33"/>
    <col min="6913" max="6913" width="5.44140625" style="33" customWidth="1"/>
    <col min="6914" max="6919" width="11.44140625" style="33"/>
    <col min="6920" max="6921" width="10.109375" style="33" customWidth="1"/>
    <col min="6922" max="7168" width="11.44140625" style="33"/>
    <col min="7169" max="7169" width="5.44140625" style="33" customWidth="1"/>
    <col min="7170" max="7175" width="11.44140625" style="33"/>
    <col min="7176" max="7177" width="10.109375" style="33" customWidth="1"/>
    <col min="7178" max="7424" width="11.44140625" style="33"/>
    <col min="7425" max="7425" width="5.44140625" style="33" customWidth="1"/>
    <col min="7426" max="7431" width="11.44140625" style="33"/>
    <col min="7432" max="7433" width="10.109375" style="33" customWidth="1"/>
    <col min="7434" max="7680" width="11.44140625" style="33"/>
    <col min="7681" max="7681" width="5.44140625" style="33" customWidth="1"/>
    <col min="7682" max="7687" width="11.44140625" style="33"/>
    <col min="7688" max="7689" width="10.109375" style="33" customWidth="1"/>
    <col min="7690" max="7936" width="11.44140625" style="33"/>
    <col min="7937" max="7937" width="5.44140625" style="33" customWidth="1"/>
    <col min="7938" max="7943" width="11.44140625" style="33"/>
    <col min="7944" max="7945" width="10.109375" style="33" customWidth="1"/>
    <col min="7946" max="8192" width="11.44140625" style="33"/>
    <col min="8193" max="8193" width="5.44140625" style="33" customWidth="1"/>
    <col min="8194" max="8199" width="11.44140625" style="33"/>
    <col min="8200" max="8201" width="10.109375" style="33" customWidth="1"/>
    <col min="8202" max="8448" width="11.44140625" style="33"/>
    <col min="8449" max="8449" width="5.44140625" style="33" customWidth="1"/>
    <col min="8450" max="8455" width="11.44140625" style="33"/>
    <col min="8456" max="8457" width="10.109375" style="33" customWidth="1"/>
    <col min="8458" max="8704" width="11.44140625" style="33"/>
    <col min="8705" max="8705" width="5.44140625" style="33" customWidth="1"/>
    <col min="8706" max="8711" width="11.44140625" style="33"/>
    <col min="8712" max="8713" width="10.109375" style="33" customWidth="1"/>
    <col min="8714" max="8960" width="11.44140625" style="33"/>
    <col min="8961" max="8961" width="5.44140625" style="33" customWidth="1"/>
    <col min="8962" max="8967" width="11.44140625" style="33"/>
    <col min="8968" max="8969" width="10.109375" style="33" customWidth="1"/>
    <col min="8970" max="9216" width="11.44140625" style="33"/>
    <col min="9217" max="9217" width="5.44140625" style="33" customWidth="1"/>
    <col min="9218" max="9223" width="11.44140625" style="33"/>
    <col min="9224" max="9225" width="10.109375" style="33" customWidth="1"/>
    <col min="9226" max="9472" width="11.44140625" style="33"/>
    <col min="9473" max="9473" width="5.44140625" style="33" customWidth="1"/>
    <col min="9474" max="9479" width="11.44140625" style="33"/>
    <col min="9480" max="9481" width="10.109375" style="33" customWidth="1"/>
    <col min="9482" max="9728" width="11.44140625" style="33"/>
    <col min="9729" max="9729" width="5.44140625" style="33" customWidth="1"/>
    <col min="9730" max="9735" width="11.44140625" style="33"/>
    <col min="9736" max="9737" width="10.109375" style="33" customWidth="1"/>
    <col min="9738" max="9984" width="11.44140625" style="33"/>
    <col min="9985" max="9985" width="5.44140625" style="33" customWidth="1"/>
    <col min="9986" max="9991" width="11.44140625" style="33"/>
    <col min="9992" max="9993" width="10.109375" style="33" customWidth="1"/>
    <col min="9994" max="10240" width="11.44140625" style="33"/>
    <col min="10241" max="10241" width="5.44140625" style="33" customWidth="1"/>
    <col min="10242" max="10247" width="11.44140625" style="33"/>
    <col min="10248" max="10249" width="10.109375" style="33" customWidth="1"/>
    <col min="10250" max="10496" width="11.44140625" style="33"/>
    <col min="10497" max="10497" width="5.44140625" style="33" customWidth="1"/>
    <col min="10498" max="10503" width="11.44140625" style="33"/>
    <col min="10504" max="10505" width="10.109375" style="33" customWidth="1"/>
    <col min="10506" max="10752" width="11.44140625" style="33"/>
    <col min="10753" max="10753" width="5.44140625" style="33" customWidth="1"/>
    <col min="10754" max="10759" width="11.44140625" style="33"/>
    <col min="10760" max="10761" width="10.109375" style="33" customWidth="1"/>
    <col min="10762" max="11008" width="11.44140625" style="33"/>
    <col min="11009" max="11009" width="5.44140625" style="33" customWidth="1"/>
    <col min="11010" max="11015" width="11.44140625" style="33"/>
    <col min="11016" max="11017" width="10.109375" style="33" customWidth="1"/>
    <col min="11018" max="11264" width="11.44140625" style="33"/>
    <col min="11265" max="11265" width="5.44140625" style="33" customWidth="1"/>
    <col min="11266" max="11271" width="11.44140625" style="33"/>
    <col min="11272" max="11273" width="10.109375" style="33" customWidth="1"/>
    <col min="11274" max="11520" width="11.44140625" style="33"/>
    <col min="11521" max="11521" width="5.44140625" style="33" customWidth="1"/>
    <col min="11522" max="11527" width="11.44140625" style="33"/>
    <col min="11528" max="11529" width="10.109375" style="33" customWidth="1"/>
    <col min="11530" max="11776" width="11.44140625" style="33"/>
    <col min="11777" max="11777" width="5.44140625" style="33" customWidth="1"/>
    <col min="11778" max="11783" width="11.44140625" style="33"/>
    <col min="11784" max="11785" width="10.109375" style="33" customWidth="1"/>
    <col min="11786" max="12032" width="11.44140625" style="33"/>
    <col min="12033" max="12033" width="5.44140625" style="33" customWidth="1"/>
    <col min="12034" max="12039" width="11.44140625" style="33"/>
    <col min="12040" max="12041" width="10.109375" style="33" customWidth="1"/>
    <col min="12042" max="12288" width="11.44140625" style="33"/>
    <col min="12289" max="12289" width="5.44140625" style="33" customWidth="1"/>
    <col min="12290" max="12295" width="11.44140625" style="33"/>
    <col min="12296" max="12297" width="10.109375" style="33" customWidth="1"/>
    <col min="12298" max="12544" width="11.44140625" style="33"/>
    <col min="12545" max="12545" width="5.44140625" style="33" customWidth="1"/>
    <col min="12546" max="12551" width="11.44140625" style="33"/>
    <col min="12552" max="12553" width="10.109375" style="33" customWidth="1"/>
    <col min="12554" max="12800" width="11.44140625" style="33"/>
    <col min="12801" max="12801" width="5.44140625" style="33" customWidth="1"/>
    <col min="12802" max="12807" width="11.44140625" style="33"/>
    <col min="12808" max="12809" width="10.109375" style="33" customWidth="1"/>
    <col min="12810" max="13056" width="11.44140625" style="33"/>
    <col min="13057" max="13057" width="5.44140625" style="33" customWidth="1"/>
    <col min="13058" max="13063" width="11.44140625" style="33"/>
    <col min="13064" max="13065" width="10.109375" style="33" customWidth="1"/>
    <col min="13066" max="13312" width="11.44140625" style="33"/>
    <col min="13313" max="13313" width="5.44140625" style="33" customWidth="1"/>
    <col min="13314" max="13319" width="11.44140625" style="33"/>
    <col min="13320" max="13321" width="10.109375" style="33" customWidth="1"/>
    <col min="13322" max="13568" width="11.44140625" style="33"/>
    <col min="13569" max="13569" width="5.44140625" style="33" customWidth="1"/>
    <col min="13570" max="13575" width="11.44140625" style="33"/>
    <col min="13576" max="13577" width="10.109375" style="33" customWidth="1"/>
    <col min="13578" max="13824" width="11.44140625" style="33"/>
    <col min="13825" max="13825" width="5.44140625" style="33" customWidth="1"/>
    <col min="13826" max="13831" width="11.44140625" style="33"/>
    <col min="13832" max="13833" width="10.109375" style="33" customWidth="1"/>
    <col min="13834" max="14080" width="11.44140625" style="33"/>
    <col min="14081" max="14081" width="5.44140625" style="33" customWidth="1"/>
    <col min="14082" max="14087" width="11.44140625" style="33"/>
    <col min="14088" max="14089" width="10.109375" style="33" customWidth="1"/>
    <col min="14090" max="14336" width="11.44140625" style="33"/>
    <col min="14337" max="14337" width="5.44140625" style="33" customWidth="1"/>
    <col min="14338" max="14343" width="11.44140625" style="33"/>
    <col min="14344" max="14345" width="10.109375" style="33" customWidth="1"/>
    <col min="14346" max="14592" width="11.44140625" style="33"/>
    <col min="14593" max="14593" width="5.44140625" style="33" customWidth="1"/>
    <col min="14594" max="14599" width="11.44140625" style="33"/>
    <col min="14600" max="14601" width="10.109375" style="33" customWidth="1"/>
    <col min="14602" max="14848" width="11.44140625" style="33"/>
    <col min="14849" max="14849" width="5.44140625" style="33" customWidth="1"/>
    <col min="14850" max="14855" width="11.44140625" style="33"/>
    <col min="14856" max="14857" width="10.109375" style="33" customWidth="1"/>
    <col min="14858" max="15104" width="11.44140625" style="33"/>
    <col min="15105" max="15105" width="5.44140625" style="33" customWidth="1"/>
    <col min="15106" max="15111" width="11.44140625" style="33"/>
    <col min="15112" max="15113" width="10.109375" style="33" customWidth="1"/>
    <col min="15114" max="15360" width="11.44140625" style="33"/>
    <col min="15361" max="15361" width="5.44140625" style="33" customWidth="1"/>
    <col min="15362" max="15367" width="11.44140625" style="33"/>
    <col min="15368" max="15369" width="10.109375" style="33" customWidth="1"/>
    <col min="15370" max="15616" width="11.44140625" style="33"/>
    <col min="15617" max="15617" width="5.44140625" style="33" customWidth="1"/>
    <col min="15618" max="15623" width="11.44140625" style="33"/>
    <col min="15624" max="15625" width="10.109375" style="33" customWidth="1"/>
    <col min="15626" max="15872" width="11.44140625" style="33"/>
    <col min="15873" max="15873" width="5.44140625" style="33" customWidth="1"/>
    <col min="15874" max="15879" width="11.44140625" style="33"/>
    <col min="15880" max="15881" width="10.109375" style="33" customWidth="1"/>
    <col min="15882" max="16128" width="11.44140625" style="33"/>
    <col min="16129" max="16129" width="5.44140625" style="33" customWidth="1"/>
    <col min="16130" max="16135" width="11.44140625" style="33"/>
    <col min="16136" max="16137" width="10.109375" style="33" customWidth="1"/>
    <col min="16138" max="16384" width="11.44140625" style="33"/>
  </cols>
  <sheetData>
    <row r="1" spans="1:256" ht="15.6" x14ac:dyDescent="0.3">
      <c r="A1" s="1449" t="str">
        <f>IF(J3=1,"VEUILLEZ UTILISER L'ONGLET 'EMPLOYEUR'","")</f>
        <v/>
      </c>
      <c r="B1" s="1449"/>
      <c r="C1" s="1449"/>
      <c r="D1" s="1449"/>
      <c r="E1" s="1449"/>
      <c r="F1" s="1449"/>
      <c r="G1" s="1449"/>
      <c r="H1" s="1449"/>
      <c r="I1" s="1449"/>
    </row>
    <row r="3" spans="1:256" x14ac:dyDescent="0.25">
      <c r="A3" s="1178" t="s">
        <v>3404</v>
      </c>
      <c r="D3" s="1450" t="s">
        <v>78</v>
      </c>
      <c r="E3" s="1450"/>
      <c r="J3" s="1179">
        <f>Input!K5</f>
        <v>2</v>
      </c>
    </row>
    <row r="4" spans="1:256" ht="39" customHeight="1" x14ac:dyDescent="0.25"/>
    <row r="5" spans="1:256" ht="19.5" customHeight="1" x14ac:dyDescent="0.25">
      <c r="A5" s="1451" t="s">
        <v>3405</v>
      </c>
      <c r="B5" s="1451"/>
      <c r="C5" s="1451"/>
      <c r="D5" s="1451"/>
      <c r="E5" s="1451"/>
      <c r="F5" s="1451"/>
      <c r="G5" s="1451"/>
      <c r="H5" s="1451"/>
      <c r="I5" s="1451"/>
    </row>
    <row r="6" spans="1:256" x14ac:dyDescent="0.25">
      <c r="A6" s="1447"/>
      <c r="B6" s="1447"/>
      <c r="C6" s="1447"/>
      <c r="D6" s="1447"/>
      <c r="E6" s="1447"/>
      <c r="F6" s="1447"/>
      <c r="G6" s="1447"/>
      <c r="H6" s="1447"/>
    </row>
    <row r="7" spans="1:256" ht="12.75" customHeight="1" x14ac:dyDescent="0.25">
      <c r="A7" s="1180" t="s">
        <v>1140</v>
      </c>
      <c r="B7" s="1432" t="s">
        <v>3406</v>
      </c>
      <c r="C7" s="1432"/>
      <c r="D7" s="1432"/>
      <c r="E7" s="1432"/>
      <c r="F7" s="1432"/>
      <c r="G7" s="1432"/>
      <c r="H7" s="1432"/>
      <c r="I7" s="1432"/>
      <c r="J7" s="1448"/>
      <c r="K7" s="1448"/>
      <c r="L7" s="1448"/>
      <c r="M7" s="1448"/>
      <c r="N7" s="1448"/>
      <c r="O7" s="1448"/>
      <c r="P7" s="1448"/>
      <c r="Q7" s="1181"/>
      <c r="R7" s="1448"/>
      <c r="S7" s="1448"/>
      <c r="T7" s="1448"/>
      <c r="U7" s="1448"/>
      <c r="V7" s="1448"/>
      <c r="W7" s="1448"/>
      <c r="X7" s="1448"/>
      <c r="Y7" s="1181"/>
      <c r="Z7" s="1448"/>
      <c r="AA7" s="1448"/>
      <c r="AB7" s="1448"/>
      <c r="AC7" s="1448"/>
      <c r="AD7" s="1448"/>
      <c r="AE7" s="1448"/>
      <c r="AF7" s="1448"/>
      <c r="AG7" s="1181"/>
      <c r="AH7" s="1448"/>
      <c r="AI7" s="1448"/>
      <c r="AJ7" s="1448"/>
      <c r="AK7" s="1448"/>
      <c r="AL7" s="1448"/>
      <c r="AM7" s="1448"/>
      <c r="AN7" s="1448"/>
      <c r="AO7" s="1181"/>
      <c r="AP7" s="1448"/>
      <c r="AQ7" s="1448"/>
      <c r="AR7" s="1448"/>
      <c r="AS7" s="1448"/>
      <c r="AT7" s="1448"/>
      <c r="AU7" s="1448"/>
      <c r="AV7" s="1448"/>
      <c r="AW7" s="1181"/>
      <c r="AX7" s="1448"/>
      <c r="AY7" s="1448"/>
      <c r="AZ7" s="1448"/>
      <c r="BA7" s="1448"/>
      <c r="BB7" s="1448"/>
      <c r="BC7" s="1448"/>
      <c r="BD7" s="1448"/>
      <c r="BE7" s="1181"/>
      <c r="BF7" s="1448"/>
      <c r="BG7" s="1448"/>
      <c r="BH7" s="1448"/>
      <c r="BI7" s="1448"/>
      <c r="BJ7" s="1448"/>
      <c r="BK7" s="1448"/>
      <c r="BL7" s="1448"/>
      <c r="BM7" s="1181"/>
      <c r="BN7" s="1448"/>
      <c r="BO7" s="1448"/>
      <c r="BP7" s="1448"/>
      <c r="BQ7" s="1448"/>
      <c r="BR7" s="1448"/>
      <c r="BS7" s="1448"/>
      <c r="BT7" s="1448"/>
      <c r="BU7" s="1181"/>
      <c r="BV7" s="1448"/>
      <c r="BW7" s="1448"/>
      <c r="BX7" s="1448"/>
      <c r="BY7" s="1448"/>
      <c r="BZ7" s="1448"/>
      <c r="CA7" s="1448"/>
      <c r="CB7" s="1448"/>
      <c r="CC7" s="1181"/>
      <c r="CD7" s="1448"/>
      <c r="CE7" s="1448"/>
      <c r="CF7" s="1448"/>
      <c r="CG7" s="1448"/>
      <c r="CH7" s="1448"/>
      <c r="CI7" s="1448"/>
      <c r="CJ7" s="1448"/>
      <c r="CK7" s="1181"/>
      <c r="CL7" s="1448"/>
      <c r="CM7" s="1448"/>
      <c r="CN7" s="1448"/>
      <c r="CO7" s="1448"/>
      <c r="CP7" s="1448"/>
      <c r="CQ7" s="1448"/>
      <c r="CR7" s="1448"/>
      <c r="CS7" s="1181"/>
      <c r="CT7" s="1448"/>
      <c r="CU7" s="1448"/>
      <c r="CV7" s="1448"/>
      <c r="CW7" s="1448"/>
      <c r="CX7" s="1448"/>
      <c r="CY7" s="1448"/>
      <c r="CZ7" s="1448"/>
      <c r="DA7" s="1181"/>
      <c r="DB7" s="1448"/>
      <c r="DC7" s="1448"/>
      <c r="DD7" s="1448"/>
      <c r="DE7" s="1448"/>
      <c r="DF7" s="1448"/>
      <c r="DG7" s="1448"/>
      <c r="DH7" s="1448"/>
      <c r="DI7" s="1181"/>
      <c r="DJ7" s="1448"/>
      <c r="DK7" s="1448"/>
      <c r="DL7" s="1448"/>
      <c r="DM7" s="1448"/>
      <c r="DN7" s="1448"/>
      <c r="DO7" s="1448"/>
      <c r="DP7" s="1448"/>
      <c r="DQ7" s="1181"/>
      <c r="DR7" s="1448"/>
      <c r="DS7" s="1448"/>
      <c r="DT7" s="1448"/>
      <c r="DU7" s="1448"/>
      <c r="DV7" s="1448"/>
      <c r="DW7" s="1448"/>
      <c r="DX7" s="1448"/>
      <c r="DY7" s="1181"/>
      <c r="DZ7" s="1448"/>
      <c r="EA7" s="1448"/>
      <c r="EB7" s="1448"/>
      <c r="EC7" s="1448"/>
      <c r="ED7" s="1448"/>
      <c r="EE7" s="1448"/>
      <c r="EF7" s="1448"/>
      <c r="EG7" s="1181"/>
      <c r="EH7" s="1448"/>
      <c r="EI7" s="1448"/>
      <c r="EJ7" s="1448"/>
      <c r="EK7" s="1448"/>
      <c r="EL7" s="1448"/>
      <c r="EM7" s="1448"/>
      <c r="EN7" s="1448"/>
      <c r="EO7" s="1181"/>
      <c r="EP7" s="1448"/>
      <c r="EQ7" s="1448"/>
      <c r="ER7" s="1448"/>
      <c r="ES7" s="1448"/>
      <c r="ET7" s="1448"/>
      <c r="EU7" s="1448"/>
      <c r="EV7" s="1448"/>
      <c r="EW7" s="1181"/>
      <c r="EX7" s="1448"/>
      <c r="EY7" s="1448"/>
      <c r="EZ7" s="1448"/>
      <c r="FA7" s="1448"/>
      <c r="FB7" s="1448"/>
      <c r="FC7" s="1448"/>
      <c r="FD7" s="1448"/>
      <c r="FE7" s="1181"/>
      <c r="FF7" s="1448"/>
      <c r="FG7" s="1448"/>
      <c r="FH7" s="1448"/>
      <c r="FI7" s="1448"/>
      <c r="FJ7" s="1448"/>
      <c r="FK7" s="1448"/>
      <c r="FL7" s="1448"/>
      <c r="FM7" s="1181"/>
      <c r="FN7" s="1448"/>
      <c r="FO7" s="1448"/>
      <c r="FP7" s="1448"/>
      <c r="FQ7" s="1448"/>
      <c r="FR7" s="1448"/>
      <c r="FS7" s="1448"/>
      <c r="FT7" s="1448"/>
      <c r="FU7" s="1181"/>
      <c r="FV7" s="1448"/>
      <c r="FW7" s="1448"/>
      <c r="FX7" s="1448"/>
      <c r="FY7" s="1448"/>
      <c r="FZ7" s="1448"/>
      <c r="GA7" s="1448"/>
      <c r="GB7" s="1448"/>
      <c r="GC7" s="1181"/>
      <c r="GD7" s="1448"/>
      <c r="GE7" s="1448"/>
      <c r="GF7" s="1448"/>
      <c r="GG7" s="1448"/>
      <c r="GH7" s="1448"/>
      <c r="GI7" s="1448"/>
      <c r="GJ7" s="1448"/>
      <c r="GK7" s="1181"/>
      <c r="GL7" s="1448"/>
      <c r="GM7" s="1448"/>
      <c r="GN7" s="1448"/>
      <c r="GO7" s="1448"/>
      <c r="GP7" s="1448"/>
      <c r="GQ7" s="1448"/>
      <c r="GR7" s="1448"/>
      <c r="GS7" s="1181"/>
      <c r="GT7" s="1448"/>
      <c r="GU7" s="1448"/>
      <c r="GV7" s="1448"/>
      <c r="GW7" s="1448"/>
      <c r="GX7" s="1448"/>
      <c r="GY7" s="1448"/>
      <c r="GZ7" s="1448"/>
      <c r="HA7" s="1181"/>
      <c r="HB7" s="1448"/>
      <c r="HC7" s="1448"/>
      <c r="HD7" s="1448"/>
      <c r="HE7" s="1448"/>
      <c r="HF7" s="1448"/>
      <c r="HG7" s="1448"/>
      <c r="HH7" s="1448"/>
      <c r="HI7" s="1181"/>
      <c r="HJ7" s="1448"/>
      <c r="HK7" s="1448"/>
      <c r="HL7" s="1448"/>
      <c r="HM7" s="1448"/>
      <c r="HN7" s="1448"/>
      <c r="HO7" s="1448"/>
      <c r="HP7" s="1448"/>
      <c r="HQ7" s="1181"/>
      <c r="HR7" s="1448"/>
      <c r="HS7" s="1448"/>
      <c r="HT7" s="1448"/>
      <c r="HU7" s="1448"/>
      <c r="HV7" s="1448"/>
      <c r="HW7" s="1448"/>
      <c r="HX7" s="1448"/>
      <c r="HY7" s="1181"/>
      <c r="HZ7" s="1448"/>
      <c r="IA7" s="1448"/>
      <c r="IB7" s="1448"/>
      <c r="IC7" s="1448"/>
      <c r="ID7" s="1448"/>
      <c r="IE7" s="1448"/>
      <c r="IF7" s="1448"/>
      <c r="IG7" s="1181"/>
      <c r="IH7" s="1448"/>
      <c r="II7" s="1448"/>
      <c r="IJ7" s="1448"/>
      <c r="IK7" s="1448"/>
      <c r="IL7" s="1448"/>
      <c r="IM7" s="1448"/>
      <c r="IN7" s="1448"/>
      <c r="IO7" s="1181"/>
      <c r="IP7" s="1448"/>
      <c r="IQ7" s="1448"/>
      <c r="IR7" s="1448"/>
      <c r="IS7" s="1448"/>
      <c r="IT7" s="1448"/>
      <c r="IU7" s="1448"/>
      <c r="IV7" s="1448"/>
    </row>
    <row r="8" spans="1:256" ht="6.75" customHeight="1" x14ac:dyDescent="0.25">
      <c r="A8" s="1433"/>
      <c r="B8" s="1446"/>
      <c r="C8" s="1446"/>
      <c r="D8" s="1446"/>
      <c r="E8" s="1446"/>
      <c r="F8" s="1446"/>
      <c r="G8" s="1446"/>
      <c r="H8" s="1446"/>
    </row>
    <row r="9" spans="1:256" ht="73.5" customHeight="1" x14ac:dyDescent="0.25">
      <c r="A9" s="1442" t="s">
        <v>3905</v>
      </c>
      <c r="B9" s="1442"/>
      <c r="C9" s="1442"/>
      <c r="D9" s="1442"/>
      <c r="E9" s="1442"/>
      <c r="F9" s="1442"/>
      <c r="G9" s="1442"/>
      <c r="H9" s="1442"/>
      <c r="I9" s="1442"/>
    </row>
    <row r="10" spans="1:256" ht="7.5" customHeight="1" x14ac:dyDescent="0.25">
      <c r="A10" s="1447"/>
      <c r="B10" s="1447"/>
      <c r="C10" s="1447"/>
      <c r="D10" s="1447"/>
      <c r="E10" s="1447"/>
      <c r="F10" s="1447"/>
      <c r="G10" s="1447"/>
      <c r="H10" s="1447"/>
    </row>
    <row r="11" spans="1:256" ht="12.75" customHeight="1" x14ac:dyDescent="0.25">
      <c r="A11" s="1180" t="s">
        <v>1138</v>
      </c>
      <c r="B11" s="1432" t="s">
        <v>3407</v>
      </c>
      <c r="C11" s="1432"/>
      <c r="D11" s="1432"/>
      <c r="E11" s="1432"/>
      <c r="F11" s="1432"/>
      <c r="G11" s="1432"/>
      <c r="H11" s="1432"/>
      <c r="I11" s="1432"/>
    </row>
    <row r="12" spans="1:256" ht="6.75" customHeight="1" x14ac:dyDescent="0.25">
      <c r="A12" s="1433"/>
      <c r="B12" s="1433"/>
      <c r="C12" s="1433"/>
      <c r="D12" s="1433"/>
      <c r="E12" s="1433"/>
      <c r="F12" s="1433"/>
      <c r="G12" s="1433"/>
      <c r="H12" s="1433"/>
    </row>
    <row r="13" spans="1:256" ht="36.75" customHeight="1" x14ac:dyDescent="0.25">
      <c r="A13" s="1442" t="s">
        <v>3906</v>
      </c>
      <c r="B13" s="1442"/>
      <c r="C13" s="1442"/>
      <c r="D13" s="1442"/>
      <c r="E13" s="1442"/>
      <c r="F13" s="1442"/>
      <c r="G13" s="1442"/>
      <c r="H13" s="1442"/>
      <c r="I13" s="1442"/>
    </row>
    <row r="14" spans="1:256" ht="7.5" customHeight="1" x14ac:dyDescent="0.25">
      <c r="A14" s="1442"/>
      <c r="B14" s="1442"/>
      <c r="C14" s="1442"/>
      <c r="D14" s="1442"/>
      <c r="E14" s="1442"/>
      <c r="F14" s="1442"/>
      <c r="G14" s="1442"/>
      <c r="H14" s="1442"/>
    </row>
    <row r="15" spans="1:256" ht="12.75" customHeight="1" x14ac:dyDescent="0.25">
      <c r="A15" s="1180" t="s">
        <v>1139</v>
      </c>
      <c r="B15" s="1432" t="s">
        <v>3408</v>
      </c>
      <c r="C15" s="1432"/>
      <c r="D15" s="1432"/>
      <c r="E15" s="1432"/>
      <c r="F15" s="1432"/>
      <c r="G15" s="1432"/>
      <c r="H15" s="1432"/>
      <c r="I15" s="1432"/>
    </row>
    <row r="16" spans="1:256" ht="6.75" customHeight="1" x14ac:dyDescent="0.25">
      <c r="A16" s="1433"/>
      <c r="B16" s="1433"/>
      <c r="C16" s="1433"/>
      <c r="D16" s="1433"/>
      <c r="E16" s="1433"/>
      <c r="F16" s="1433"/>
      <c r="G16" s="1433"/>
      <c r="H16" s="1433"/>
    </row>
    <row r="17" spans="1:9" ht="49.5" customHeight="1" x14ac:dyDescent="0.25">
      <c r="A17" s="1442" t="s">
        <v>3409</v>
      </c>
      <c r="B17" s="1442"/>
      <c r="C17" s="1442"/>
      <c r="D17" s="1442"/>
      <c r="E17" s="1442"/>
      <c r="F17" s="1442"/>
      <c r="G17" s="1442"/>
      <c r="H17" s="1442"/>
      <c r="I17" s="1442"/>
    </row>
    <row r="18" spans="1:9" ht="7.5" customHeight="1" x14ac:dyDescent="0.25">
      <c r="A18" s="1442"/>
      <c r="B18" s="1442"/>
      <c r="C18" s="1442"/>
      <c r="D18" s="1442"/>
      <c r="E18" s="1442"/>
      <c r="F18" s="1442"/>
      <c r="G18" s="1442"/>
      <c r="H18" s="1442"/>
    </row>
    <row r="19" spans="1:9" ht="12.75" customHeight="1" x14ac:dyDescent="0.25">
      <c r="A19" s="1180" t="s">
        <v>1143</v>
      </c>
      <c r="B19" s="1432" t="s">
        <v>3410</v>
      </c>
      <c r="C19" s="1432"/>
      <c r="D19" s="1432"/>
      <c r="E19" s="1432"/>
      <c r="F19" s="1432"/>
      <c r="G19" s="1432"/>
      <c r="H19" s="1432"/>
      <c r="I19" s="1432"/>
    </row>
    <row r="20" spans="1:9" ht="6.75" customHeight="1" x14ac:dyDescent="0.25">
      <c r="A20" s="1433"/>
      <c r="B20" s="1433"/>
      <c r="C20" s="1433"/>
      <c r="D20" s="1433"/>
      <c r="E20" s="1433"/>
      <c r="F20" s="1433"/>
      <c r="G20" s="1433"/>
      <c r="H20" s="1433"/>
    </row>
    <row r="21" spans="1:9" ht="105.75" customHeight="1" x14ac:dyDescent="0.25">
      <c r="A21" s="1442" t="s">
        <v>3907</v>
      </c>
      <c r="B21" s="1442"/>
      <c r="C21" s="1442"/>
      <c r="D21" s="1442"/>
      <c r="E21" s="1442"/>
      <c r="F21" s="1442"/>
      <c r="G21" s="1442"/>
      <c r="H21" s="1442"/>
      <c r="I21" s="1442"/>
    </row>
    <row r="22" spans="1:9" ht="7.5" customHeight="1" x14ac:dyDescent="0.25">
      <c r="A22" s="1442"/>
      <c r="B22" s="1442"/>
      <c r="C22" s="1442"/>
      <c r="D22" s="1442"/>
      <c r="E22" s="1442"/>
      <c r="F22" s="1442"/>
      <c r="G22" s="1442"/>
      <c r="H22" s="1442"/>
    </row>
    <row r="23" spans="1:9" ht="12.75" customHeight="1" x14ac:dyDescent="0.25">
      <c r="A23" s="1180" t="s">
        <v>65</v>
      </c>
      <c r="B23" s="1432" t="s">
        <v>3411</v>
      </c>
      <c r="C23" s="1432"/>
      <c r="D23" s="1432"/>
      <c r="E23" s="1432"/>
      <c r="F23" s="1432"/>
      <c r="G23" s="1432"/>
      <c r="H23" s="1432"/>
      <c r="I23" s="1432"/>
    </row>
    <row r="24" spans="1:9" ht="6.75" customHeight="1" x14ac:dyDescent="0.25">
      <c r="A24" s="1433"/>
      <c r="B24" s="1433"/>
      <c r="C24" s="1433"/>
      <c r="D24" s="1433"/>
      <c r="E24" s="1433"/>
      <c r="F24" s="1433"/>
      <c r="G24" s="1433"/>
      <c r="H24" s="1433"/>
    </row>
    <row r="25" spans="1:9" ht="60.75" customHeight="1" x14ac:dyDescent="0.25">
      <c r="A25" s="1442" t="s">
        <v>3412</v>
      </c>
      <c r="B25" s="1442"/>
      <c r="C25" s="1442"/>
      <c r="D25" s="1442"/>
      <c r="E25" s="1442"/>
      <c r="F25" s="1442"/>
      <c r="G25" s="1442"/>
      <c r="H25" s="1442"/>
      <c r="I25" s="1442"/>
    </row>
    <row r="26" spans="1:9" ht="72.75" customHeight="1" x14ac:dyDescent="0.25">
      <c r="A26" s="1443" t="s">
        <v>3908</v>
      </c>
      <c r="B26" s="1443"/>
      <c r="C26" s="1443"/>
      <c r="D26" s="1443"/>
      <c r="E26" s="1443"/>
      <c r="F26" s="1443"/>
      <c r="G26" s="1443"/>
      <c r="H26" s="1443"/>
      <c r="I26" s="1443"/>
    </row>
    <row r="27" spans="1:9" ht="11.25" customHeight="1" x14ac:dyDescent="0.25">
      <c r="A27" s="1182" t="s">
        <v>3413</v>
      </c>
      <c r="B27" s="1183"/>
      <c r="C27" s="1183"/>
      <c r="D27" s="1183"/>
      <c r="E27" s="1183"/>
      <c r="F27" s="1183"/>
      <c r="G27" s="1183"/>
      <c r="H27" s="1183"/>
      <c r="I27" s="232"/>
    </row>
    <row r="28" spans="1:9" ht="11.25" customHeight="1" x14ac:dyDescent="0.25">
      <c r="A28" s="1182" t="str">
        <f>IF(Input!K51=1,"720 jours (j’ai compris les explications du paragraphe 2 et je suis d’accord avec elles)","360 jours")</f>
        <v>720 jours (j’ai compris les explications du paragraphe 2 et je suis d’accord avec elles)</v>
      </c>
      <c r="B28" s="1183"/>
      <c r="C28" s="1183"/>
      <c r="D28" s="1183"/>
      <c r="E28" s="1183"/>
      <c r="F28" s="1183"/>
      <c r="G28" s="1183"/>
      <c r="H28" s="1183"/>
      <c r="I28" s="232"/>
    </row>
    <row r="29" spans="1:9" ht="7.5" customHeight="1" x14ac:dyDescent="0.25">
      <c r="A29" s="1442"/>
      <c r="B29" s="1442"/>
      <c r="C29" s="1442"/>
      <c r="D29" s="1442"/>
      <c r="E29" s="1442"/>
      <c r="F29" s="1442"/>
      <c r="G29" s="1442"/>
      <c r="H29" s="1442"/>
    </row>
    <row r="30" spans="1:9" ht="12.75" customHeight="1" x14ac:dyDescent="0.25">
      <c r="A30" s="1180" t="s">
        <v>66</v>
      </c>
      <c r="B30" s="1432" t="s">
        <v>3414</v>
      </c>
      <c r="C30" s="1432"/>
      <c r="D30" s="1432"/>
      <c r="E30" s="1432"/>
      <c r="F30" s="1432"/>
      <c r="G30" s="1432"/>
      <c r="H30" s="1432"/>
      <c r="I30" s="1432"/>
    </row>
    <row r="31" spans="1:9" ht="6.75" customHeight="1" x14ac:dyDescent="0.25">
      <c r="A31" s="1433"/>
      <c r="B31" s="1433"/>
      <c r="C31" s="1433"/>
      <c r="D31" s="1433"/>
      <c r="E31" s="1433"/>
      <c r="F31" s="1433"/>
      <c r="G31" s="1433"/>
      <c r="H31" s="1433"/>
    </row>
    <row r="32" spans="1:9" x14ac:dyDescent="0.25">
      <c r="A32" s="1184" t="s">
        <v>3415</v>
      </c>
      <c r="B32" s="1184"/>
      <c r="C32" s="1184"/>
      <c r="D32" s="1184"/>
      <c r="F32" s="1184" t="s">
        <v>3416</v>
      </c>
      <c r="G32" s="1184"/>
      <c r="H32" s="1184"/>
      <c r="I32" s="1184" t="s">
        <v>3417</v>
      </c>
    </row>
    <row r="33" spans="1:9" ht="16.5" customHeight="1" x14ac:dyDescent="0.25">
      <c r="A33" s="1444" t="str">
        <f>CONCATENATE(Input!E8," ",Input!E9)</f>
        <v xml:space="preserve"> </v>
      </c>
      <c r="B33" s="1444"/>
      <c r="C33" s="1444"/>
      <c r="D33" s="1444"/>
      <c r="E33" s="1185"/>
      <c r="F33" s="1445" t="str">
        <f>IF(Input!E10="","...........................................",Input!E10)</f>
        <v>...........................................</v>
      </c>
      <c r="G33" s="1445"/>
      <c r="I33" s="1186">
        <f>Input!E11</f>
        <v>31048</v>
      </c>
    </row>
    <row r="34" spans="1:9" ht="3.75" customHeight="1" x14ac:dyDescent="0.25">
      <c r="A34" s="1442"/>
      <c r="B34" s="1442"/>
      <c r="C34" s="1442"/>
      <c r="D34" s="1442"/>
      <c r="E34" s="1442"/>
      <c r="F34" s="1442"/>
      <c r="G34" s="1442"/>
      <c r="H34" s="1442"/>
      <c r="I34" s="1184"/>
    </row>
    <row r="35" spans="1:9" x14ac:dyDescent="0.25">
      <c r="A35" s="1184" t="s">
        <v>3418</v>
      </c>
      <c r="B35" s="1184"/>
      <c r="C35" s="1184"/>
      <c r="D35" s="1184"/>
      <c r="E35" s="1184"/>
      <c r="F35" s="1184"/>
      <c r="G35" s="1184"/>
      <c r="I35" s="1184" t="s">
        <v>3419</v>
      </c>
    </row>
    <row r="36" spans="1:9" ht="16.5" customHeight="1" x14ac:dyDescent="0.25">
      <c r="A36" s="1435" t="s">
        <v>64</v>
      </c>
      <c r="B36" s="1435"/>
      <c r="C36" s="1435"/>
      <c r="D36" s="1435"/>
      <c r="E36" s="1435"/>
      <c r="F36" s="1435"/>
      <c r="G36" s="1435"/>
      <c r="I36" s="1187" t="str">
        <f>IF(Input!K3=1,"homme","femme")</f>
        <v>femme</v>
      </c>
    </row>
    <row r="37" spans="1:9" ht="3" customHeight="1" x14ac:dyDescent="0.25">
      <c r="A37" s="1442"/>
      <c r="B37" s="1442"/>
      <c r="C37" s="1442"/>
      <c r="D37" s="1442"/>
      <c r="E37" s="1442"/>
      <c r="F37" s="1442"/>
      <c r="G37" s="1442"/>
      <c r="H37" s="1442"/>
      <c r="I37" s="1184"/>
    </row>
    <row r="38" spans="1:9" x14ac:dyDescent="0.25">
      <c r="A38" s="1184" t="s">
        <v>3420</v>
      </c>
      <c r="B38" s="1184"/>
      <c r="C38" s="1184"/>
      <c r="D38" s="1184"/>
      <c r="E38" s="1184"/>
      <c r="F38" s="1184"/>
      <c r="G38" s="1184"/>
      <c r="H38" s="1184"/>
      <c r="I38" s="1184"/>
    </row>
    <row r="39" spans="1:9" x14ac:dyDescent="0.25">
      <c r="A39" s="1188" t="s">
        <v>3421</v>
      </c>
      <c r="B39" s="1184"/>
      <c r="C39" s="1188" t="s">
        <v>3422</v>
      </c>
      <c r="D39" s="1184"/>
      <c r="E39" s="1188" t="s">
        <v>3423</v>
      </c>
      <c r="F39" s="1188" t="s">
        <v>3424</v>
      </c>
      <c r="H39" s="1188" t="s">
        <v>3425</v>
      </c>
    </row>
    <row r="40" spans="1:9" s="1192" customFormat="1" ht="16.5" customHeight="1" x14ac:dyDescent="0.25">
      <c r="A40" s="1189" t="s">
        <v>3426</v>
      </c>
      <c r="B40" s="1190"/>
      <c r="C40" s="1191"/>
      <c r="D40" s="1190"/>
      <c r="E40" s="1189" t="s">
        <v>3427</v>
      </c>
      <c r="F40" s="1191"/>
      <c r="G40" s="1190"/>
      <c r="H40" s="1190"/>
    </row>
    <row r="41" spans="1:9" ht="3.75" customHeight="1" x14ac:dyDescent="0.25">
      <c r="A41" s="1184"/>
      <c r="B41" s="1184"/>
      <c r="C41" s="1184"/>
      <c r="D41" s="1184"/>
      <c r="E41" s="1184"/>
      <c r="F41" s="1184"/>
      <c r="G41" s="1184"/>
      <c r="H41" s="1184"/>
      <c r="I41" s="1184"/>
    </row>
    <row r="42" spans="1:9" x14ac:dyDescent="0.25">
      <c r="A42" s="1184" t="s">
        <v>3428</v>
      </c>
      <c r="B42" s="1184"/>
      <c r="C42" s="1184"/>
      <c r="D42" s="1184"/>
      <c r="E42" s="1184"/>
      <c r="F42" s="1184"/>
      <c r="G42" s="1184"/>
      <c r="H42" s="1184" t="s">
        <v>3429</v>
      </c>
      <c r="I42" s="1184"/>
    </row>
    <row r="43" spans="1:9" ht="16.5" customHeight="1" x14ac:dyDescent="0.25">
      <c r="A43" s="1435" t="s">
        <v>64</v>
      </c>
      <c r="B43" s="1435"/>
      <c r="C43" s="1435"/>
      <c r="D43" s="1435"/>
      <c r="E43" s="1435"/>
      <c r="F43" s="1435"/>
      <c r="G43" s="1435"/>
      <c r="H43" s="1435" t="s">
        <v>57</v>
      </c>
      <c r="I43" s="1435"/>
    </row>
    <row r="44" spans="1:9" s="1239" customFormat="1" ht="16.5" customHeight="1" x14ac:dyDescent="0.25">
      <c r="A44" s="1184" t="s">
        <v>3636</v>
      </c>
      <c r="B44" s="1184"/>
      <c r="C44" s="1184"/>
      <c r="D44" s="1184"/>
      <c r="E44" s="1184"/>
      <c r="F44" s="1184"/>
      <c r="G44" s="1184"/>
      <c r="H44" s="1237"/>
      <c r="I44" s="1237"/>
    </row>
    <row r="45" spans="1:9" s="1239" customFormat="1" ht="16.5" customHeight="1" x14ac:dyDescent="0.25">
      <c r="A45" s="1435" t="s">
        <v>64</v>
      </c>
      <c r="B45" s="1435"/>
      <c r="C45" s="1435"/>
      <c r="D45" s="1435"/>
      <c r="E45" s="1435"/>
      <c r="F45" s="1435"/>
      <c r="G45" s="1435"/>
      <c r="H45" s="1237"/>
      <c r="I45" s="1193" t="s">
        <v>73</v>
      </c>
    </row>
    <row r="46" spans="1:9" ht="12" customHeight="1" x14ac:dyDescent="0.25">
      <c r="A46" s="1184"/>
      <c r="B46" s="1184"/>
      <c r="C46" s="1184"/>
      <c r="D46" s="1184"/>
      <c r="E46" s="1184"/>
      <c r="F46" s="1184"/>
      <c r="G46" s="1184"/>
      <c r="H46" s="1184"/>
      <c r="I46" s="1193"/>
    </row>
    <row r="47" spans="1:9" ht="12.75" customHeight="1" x14ac:dyDescent="0.25">
      <c r="A47" s="1180" t="s">
        <v>67</v>
      </c>
      <c r="B47" s="1432" t="s">
        <v>3430</v>
      </c>
      <c r="C47" s="1432"/>
      <c r="D47" s="1432"/>
      <c r="E47" s="1432"/>
      <c r="F47" s="1432"/>
      <c r="G47" s="1432"/>
      <c r="H47" s="1432"/>
      <c r="I47" s="1432"/>
    </row>
    <row r="48" spans="1:9" ht="6" customHeight="1" x14ac:dyDescent="0.25">
      <c r="A48" s="1433"/>
      <c r="B48" s="1433"/>
      <c r="C48" s="1433"/>
      <c r="D48" s="1433"/>
      <c r="E48" s="1433"/>
      <c r="F48" s="1433"/>
      <c r="G48" s="1433"/>
      <c r="H48" s="1433"/>
    </row>
    <row r="49" spans="1:9" ht="12.75" customHeight="1" x14ac:dyDescent="0.25">
      <c r="A49" s="1194" t="s">
        <v>31</v>
      </c>
      <c r="B49" s="1194" t="s">
        <v>3431</v>
      </c>
      <c r="C49" s="1194"/>
      <c r="D49" s="1194"/>
      <c r="E49" s="1194"/>
      <c r="F49" s="1188" t="s">
        <v>2123</v>
      </c>
      <c r="G49" s="1194"/>
      <c r="H49" s="1195"/>
      <c r="I49" s="1195"/>
    </row>
    <row r="50" spans="1:9" s="1192" customFormat="1" ht="16.5" customHeight="1" x14ac:dyDescent="0.25">
      <c r="A50" s="1190"/>
      <c r="B50" s="1190"/>
      <c r="C50" s="1190"/>
      <c r="D50" s="1190"/>
      <c r="E50" s="1190"/>
      <c r="F50" s="1440" t="s">
        <v>2124</v>
      </c>
      <c r="G50" s="1440"/>
      <c r="H50" s="1440"/>
      <c r="I50" s="1440"/>
    </row>
    <row r="51" spans="1:9" ht="3" customHeight="1" x14ac:dyDescent="0.25">
      <c r="A51" s="1184"/>
      <c r="B51" s="1184"/>
      <c r="C51" s="1184"/>
      <c r="D51" s="1184"/>
      <c r="E51" s="1184"/>
      <c r="F51" s="1184"/>
      <c r="G51" s="1184"/>
      <c r="H51" s="1184"/>
    </row>
    <row r="52" spans="1:9" s="1192" customFormat="1" ht="16.5" customHeight="1" x14ac:dyDescent="0.25">
      <c r="A52" s="1190" t="s">
        <v>33</v>
      </c>
      <c r="B52" s="1190" t="s">
        <v>3432</v>
      </c>
      <c r="C52" s="1190"/>
      <c r="D52" s="1190"/>
      <c r="E52" s="1190"/>
      <c r="F52" s="1196">
        <f>Input!E15</f>
        <v>45292</v>
      </c>
      <c r="G52" s="1197"/>
      <c r="H52" s="1197"/>
      <c r="I52" s="1197"/>
    </row>
    <row r="53" spans="1:9" ht="3" customHeight="1" x14ac:dyDescent="0.25">
      <c r="A53" s="1184"/>
      <c r="B53" s="1184"/>
      <c r="C53" s="1184"/>
      <c r="D53" s="1184"/>
      <c r="E53" s="1184"/>
      <c r="F53" s="1184"/>
      <c r="G53" s="1184"/>
      <c r="H53" s="1184"/>
    </row>
    <row r="54" spans="1:9" s="1192" customFormat="1" ht="16.5" customHeight="1" x14ac:dyDescent="0.25">
      <c r="A54" s="1190" t="s">
        <v>37</v>
      </c>
      <c r="B54" s="1190" t="s">
        <v>3433</v>
      </c>
      <c r="C54" s="1190"/>
      <c r="D54" s="1190"/>
      <c r="E54" s="1190"/>
      <c r="F54" s="1198" t="s">
        <v>1274</v>
      </c>
      <c r="G54" s="1199">
        <f>Input!E19</f>
        <v>100000</v>
      </c>
      <c r="H54" s="1200"/>
      <c r="I54" s="1200"/>
    </row>
    <row r="55" spans="1:9" ht="12.75" customHeight="1" x14ac:dyDescent="0.25">
      <c r="A55" s="1194"/>
      <c r="B55" s="1441" t="s">
        <v>3434</v>
      </c>
      <c r="C55" s="1441"/>
      <c r="D55" s="1441"/>
      <c r="E55" s="1441"/>
      <c r="F55" s="1441"/>
      <c r="G55" s="1441"/>
      <c r="H55" s="1441"/>
      <c r="I55" s="1441"/>
    </row>
    <row r="56" spans="1:9" ht="12.75" customHeight="1" x14ac:dyDescent="0.25">
      <c r="A56" s="1194"/>
      <c r="B56" s="1441" t="s">
        <v>3435</v>
      </c>
      <c r="C56" s="1441"/>
      <c r="D56" s="1441"/>
      <c r="E56" s="1441"/>
      <c r="F56" s="1441"/>
      <c r="G56" s="1441"/>
      <c r="H56" s="1441"/>
      <c r="I56" s="1441"/>
    </row>
    <row r="57" spans="1:9" ht="3" customHeight="1" x14ac:dyDescent="0.25">
      <c r="A57" s="1184"/>
      <c r="B57" s="1184"/>
      <c r="C57" s="1184"/>
      <c r="D57" s="1184"/>
      <c r="E57" s="1184"/>
      <c r="F57" s="1184"/>
      <c r="G57" s="1184"/>
      <c r="H57" s="1184"/>
    </row>
    <row r="58" spans="1:9" s="1192" customFormat="1" ht="16.5" customHeight="1" x14ac:dyDescent="0.25">
      <c r="A58" s="1190" t="s">
        <v>39</v>
      </c>
      <c r="B58" s="1190" t="s">
        <v>3436</v>
      </c>
      <c r="C58" s="1190"/>
      <c r="D58" s="1190"/>
      <c r="E58" s="1190"/>
      <c r="F58" s="1435" t="s">
        <v>71</v>
      </c>
      <c r="G58" s="1435"/>
      <c r="H58" s="1435"/>
      <c r="I58" s="1435"/>
    </row>
    <row r="59" spans="1:9" ht="3" customHeight="1" x14ac:dyDescent="0.25">
      <c r="A59" s="1184"/>
      <c r="B59" s="1184"/>
      <c r="C59" s="1184"/>
      <c r="D59" s="1184"/>
      <c r="E59" s="1184"/>
      <c r="F59" s="1184"/>
      <c r="G59" s="1184"/>
      <c r="H59" s="1184"/>
    </row>
    <row r="60" spans="1:9" ht="25.5" customHeight="1" x14ac:dyDescent="0.25">
      <c r="A60" s="1194" t="s">
        <v>620</v>
      </c>
      <c r="B60" s="1434" t="s">
        <v>3437</v>
      </c>
      <c r="C60" s="1434"/>
      <c r="D60" s="1434"/>
      <c r="E60" s="1434"/>
      <c r="F60" s="1434"/>
      <c r="G60" s="1434"/>
      <c r="H60" s="1188" t="s">
        <v>3438</v>
      </c>
      <c r="I60" s="1188" t="s">
        <v>3439</v>
      </c>
    </row>
    <row r="61" spans="1:9" ht="3" customHeight="1" x14ac:dyDescent="0.25">
      <c r="A61" s="1184"/>
      <c r="B61" s="1184"/>
      <c r="C61" s="1184"/>
      <c r="D61" s="1184"/>
      <c r="E61" s="1184"/>
      <c r="F61" s="1184"/>
      <c r="G61" s="1184"/>
      <c r="H61" s="1201"/>
      <c r="I61" s="935"/>
    </row>
    <row r="62" spans="1:9" ht="12.75" customHeight="1" x14ac:dyDescent="0.25">
      <c r="A62" s="1194" t="s">
        <v>621</v>
      </c>
      <c r="B62" s="1434" t="s">
        <v>3440</v>
      </c>
      <c r="C62" s="1434"/>
      <c r="D62" s="1434"/>
      <c r="E62" s="1434"/>
      <c r="F62" s="1434"/>
      <c r="G62" s="1434"/>
      <c r="H62" s="1188" t="s">
        <v>3438</v>
      </c>
      <c r="I62" s="1188" t="s">
        <v>3439</v>
      </c>
    </row>
    <row r="63" spans="1:9" ht="12.75" customHeight="1" x14ac:dyDescent="0.25">
      <c r="A63" s="1194"/>
      <c r="B63" s="1202" t="s">
        <v>3441</v>
      </c>
      <c r="C63" s="1188" t="s">
        <v>3442</v>
      </c>
      <c r="D63" s="1203"/>
      <c r="E63" s="1202"/>
      <c r="F63" s="1188" t="s">
        <v>3443</v>
      </c>
      <c r="G63" s="1202"/>
      <c r="H63" s="1195"/>
      <c r="I63" s="1195"/>
    </row>
    <row r="64" spans="1:9" s="1192" customFormat="1" ht="16.5" customHeight="1" x14ac:dyDescent="0.25">
      <c r="A64" s="1190"/>
      <c r="B64" s="1435" t="s">
        <v>3444</v>
      </c>
      <c r="C64" s="1435"/>
      <c r="D64" s="1435"/>
      <c r="E64" s="1435"/>
      <c r="F64" s="1435"/>
      <c r="G64" s="1435"/>
      <c r="H64" s="1435"/>
      <c r="I64" s="1435"/>
    </row>
    <row r="65" spans="1:9" s="1192" customFormat="1" ht="16.5" customHeight="1" x14ac:dyDescent="0.25">
      <c r="A65" s="1190"/>
      <c r="B65" s="1435" t="s">
        <v>3445</v>
      </c>
      <c r="C65" s="1435"/>
      <c r="D65" s="1435"/>
      <c r="E65" s="1435"/>
      <c r="F65" s="1435"/>
      <c r="G65" s="1435"/>
      <c r="H65" s="1435"/>
      <c r="I65" s="1435"/>
    </row>
    <row r="66" spans="1:9" ht="3" customHeight="1" x14ac:dyDescent="0.25">
      <c r="A66" s="1184"/>
      <c r="B66" s="1184"/>
      <c r="C66" s="1184"/>
      <c r="D66" s="1184"/>
      <c r="E66" s="1184"/>
      <c r="F66" s="1184"/>
      <c r="G66" s="1184"/>
      <c r="H66" s="1184"/>
    </row>
    <row r="67" spans="1:9" ht="60.75" customHeight="1" x14ac:dyDescent="0.25">
      <c r="A67" s="1194" t="s">
        <v>622</v>
      </c>
      <c r="B67" s="1434" t="s">
        <v>3446</v>
      </c>
      <c r="C67" s="1434"/>
      <c r="D67" s="1434"/>
      <c r="E67" s="1434"/>
      <c r="F67" s="1434"/>
      <c r="G67" s="1434"/>
      <c r="H67" s="1184"/>
    </row>
    <row r="68" spans="1:9" ht="3" customHeight="1" x14ac:dyDescent="0.25">
      <c r="A68" s="1184"/>
      <c r="B68" s="1184"/>
      <c r="C68" s="1184"/>
      <c r="D68" s="1184"/>
      <c r="E68" s="1184"/>
      <c r="F68" s="1184"/>
      <c r="G68" s="1184"/>
      <c r="H68" s="1184"/>
    </row>
    <row r="69" spans="1:9" ht="28.5" customHeight="1" x14ac:dyDescent="0.25">
      <c r="A69" s="1194" t="s">
        <v>623</v>
      </c>
      <c r="B69" s="1434" t="s">
        <v>3447</v>
      </c>
      <c r="C69" s="1434"/>
      <c r="D69" s="1434"/>
      <c r="E69" s="1434"/>
      <c r="F69" s="1434"/>
      <c r="G69" s="1434"/>
      <c r="H69" s="1188" t="s">
        <v>3438</v>
      </c>
      <c r="I69" s="1188" t="s">
        <v>3439</v>
      </c>
    </row>
    <row r="70" spans="1:9" ht="3" customHeight="1" x14ac:dyDescent="0.25">
      <c r="A70" s="1184"/>
      <c r="B70" s="1184"/>
      <c r="C70" s="1184"/>
      <c r="D70" s="1184"/>
      <c r="E70" s="1184"/>
      <c r="F70" s="1184"/>
      <c r="G70" s="1184"/>
      <c r="H70" s="1201"/>
      <c r="I70" s="935"/>
    </row>
    <row r="71" spans="1:9" ht="12.75" customHeight="1" x14ac:dyDescent="0.25">
      <c r="A71" s="1194" t="s">
        <v>26</v>
      </c>
      <c r="B71" s="1434" t="s">
        <v>3448</v>
      </c>
      <c r="C71" s="1434"/>
      <c r="D71" s="1434"/>
      <c r="E71" s="1434"/>
      <c r="F71" s="1434"/>
      <c r="G71" s="1434"/>
      <c r="H71" s="1188" t="s">
        <v>3438</v>
      </c>
      <c r="I71" s="1188" t="s">
        <v>3439</v>
      </c>
    </row>
    <row r="72" spans="1:9" ht="3" customHeight="1" x14ac:dyDescent="0.25">
      <c r="A72" s="1184"/>
      <c r="B72" s="1184"/>
      <c r="C72" s="1184"/>
      <c r="D72" s="1184"/>
      <c r="E72" s="1184"/>
      <c r="F72" s="1184"/>
      <c r="G72" s="1184"/>
      <c r="H72" s="1201"/>
      <c r="I72" s="935"/>
    </row>
    <row r="73" spans="1:9" ht="12.75" customHeight="1" x14ac:dyDescent="0.25">
      <c r="A73" s="1194" t="s">
        <v>28</v>
      </c>
      <c r="B73" s="1434" t="s">
        <v>3449</v>
      </c>
      <c r="C73" s="1434"/>
      <c r="D73" s="1434"/>
      <c r="E73" s="1434"/>
      <c r="F73" s="1434"/>
      <c r="G73" s="1434"/>
      <c r="H73" s="1188" t="s">
        <v>3438</v>
      </c>
      <c r="I73" s="1188" t="s">
        <v>3439</v>
      </c>
    </row>
    <row r="74" spans="1:9" ht="12.75" customHeight="1" x14ac:dyDescent="0.25">
      <c r="A74" s="1194"/>
      <c r="B74" s="1194" t="s">
        <v>3450</v>
      </c>
      <c r="C74" s="1194"/>
      <c r="D74" s="1202"/>
      <c r="E74" s="1188" t="s">
        <v>3919</v>
      </c>
      <c r="F74" s="1204"/>
      <c r="G74" s="1203"/>
      <c r="H74" s="1204"/>
      <c r="I74" s="1204"/>
    </row>
    <row r="75" spans="1:9" s="1192" customFormat="1" ht="16.5" customHeight="1" x14ac:dyDescent="0.25">
      <c r="A75" s="1190"/>
      <c r="B75" s="1205"/>
      <c r="C75" s="1190"/>
      <c r="D75" s="1205"/>
      <c r="E75" s="1440" t="s">
        <v>3920</v>
      </c>
      <c r="F75" s="1440"/>
      <c r="G75" s="1440"/>
      <c r="H75" s="1440"/>
      <c r="I75" s="1440"/>
    </row>
    <row r="76" spans="1:9" ht="12" customHeight="1" x14ac:dyDescent="0.25">
      <c r="A76" s="1184"/>
      <c r="B76" s="1184"/>
      <c r="C76" s="1184"/>
      <c r="D76" s="1184"/>
      <c r="E76" s="1184"/>
      <c r="F76" s="1184"/>
      <c r="G76" s="1184"/>
      <c r="H76" s="1184"/>
    </row>
    <row r="77" spans="1:9" ht="12.75" customHeight="1" x14ac:dyDescent="0.25">
      <c r="A77" s="1180" t="s">
        <v>68</v>
      </c>
      <c r="B77" s="1432" t="s">
        <v>3451</v>
      </c>
      <c r="C77" s="1432"/>
      <c r="D77" s="1432"/>
      <c r="E77" s="1432"/>
      <c r="F77" s="1432"/>
      <c r="G77" s="1432"/>
      <c r="H77" s="1432"/>
      <c r="I77" s="1432"/>
    </row>
    <row r="78" spans="1:9" ht="6.75" customHeight="1" x14ac:dyDescent="0.25">
      <c r="A78" s="1433"/>
      <c r="B78" s="1433"/>
      <c r="C78" s="1433"/>
      <c r="D78" s="1433"/>
      <c r="E78" s="1433"/>
      <c r="F78" s="1433"/>
      <c r="G78" s="1433"/>
      <c r="H78" s="1433"/>
    </row>
    <row r="79" spans="1:9" ht="12.75" customHeight="1" x14ac:dyDescent="0.25">
      <c r="A79" s="1194" t="s">
        <v>31</v>
      </c>
      <c r="B79" s="1434" t="s">
        <v>3452</v>
      </c>
      <c r="C79" s="1434"/>
      <c r="D79" s="1434"/>
      <c r="E79" s="1434"/>
      <c r="F79" s="1434"/>
      <c r="G79" s="1434"/>
      <c r="H79" s="1188" t="s">
        <v>3438</v>
      </c>
      <c r="I79" s="1188" t="s">
        <v>3439</v>
      </c>
    </row>
    <row r="80" spans="1:9" s="1192" customFormat="1" ht="16.5" customHeight="1" x14ac:dyDescent="0.25">
      <c r="A80" s="1190"/>
      <c r="B80" s="1435" t="s">
        <v>3453</v>
      </c>
      <c r="C80" s="1435"/>
      <c r="D80" s="1435"/>
      <c r="E80" s="1435"/>
      <c r="F80" s="1435"/>
      <c r="G80" s="1435"/>
      <c r="H80" s="1435"/>
      <c r="I80" s="1435"/>
    </row>
    <row r="81" spans="1:9" ht="3" customHeight="1" x14ac:dyDescent="0.25">
      <c r="A81" s="1184"/>
      <c r="B81" s="1184"/>
      <c r="C81" s="1184"/>
      <c r="D81" s="1184"/>
      <c r="E81" s="1184"/>
      <c r="F81" s="1184"/>
      <c r="G81" s="1184"/>
      <c r="H81" s="1184"/>
    </row>
    <row r="82" spans="1:9" ht="12.75" customHeight="1" x14ac:dyDescent="0.25">
      <c r="A82" s="1194" t="s">
        <v>33</v>
      </c>
      <c r="B82" s="1434" t="s">
        <v>3454</v>
      </c>
      <c r="C82" s="1434"/>
      <c r="D82" s="1434"/>
      <c r="E82" s="1434"/>
      <c r="F82" s="1434"/>
      <c r="G82" s="1434"/>
      <c r="H82" s="1188" t="s">
        <v>3438</v>
      </c>
      <c r="I82" s="1188" t="s">
        <v>3439</v>
      </c>
    </row>
    <row r="83" spans="1:9" s="1192" customFormat="1" ht="15" customHeight="1" x14ac:dyDescent="0.25">
      <c r="A83" s="1190"/>
      <c r="B83" s="1435" t="s">
        <v>3455</v>
      </c>
      <c r="C83" s="1435"/>
      <c r="D83" s="1435"/>
      <c r="E83" s="1435"/>
      <c r="F83" s="1435"/>
      <c r="G83" s="1435"/>
      <c r="H83" s="1435"/>
      <c r="I83" s="1435"/>
    </row>
    <row r="84" spans="1:9" ht="3" customHeight="1" x14ac:dyDescent="0.25">
      <c r="A84" s="1184"/>
      <c r="B84" s="1184"/>
      <c r="C84" s="1184"/>
      <c r="D84" s="1184"/>
      <c r="E84" s="1184"/>
      <c r="F84" s="1184"/>
      <c r="G84" s="1184"/>
      <c r="H84" s="1184"/>
    </row>
    <row r="85" spans="1:9" ht="25.5" customHeight="1" x14ac:dyDescent="0.25">
      <c r="A85" s="1194" t="s">
        <v>37</v>
      </c>
      <c r="B85" s="1434" t="s">
        <v>3456</v>
      </c>
      <c r="C85" s="1434"/>
      <c r="D85" s="1434"/>
      <c r="E85" s="1434"/>
      <c r="F85" s="1434"/>
      <c r="G85" s="1434"/>
      <c r="H85" s="1188" t="s">
        <v>3438</v>
      </c>
      <c r="I85" s="1188" t="s">
        <v>3439</v>
      </c>
    </row>
    <row r="86" spans="1:9" ht="12.75" customHeight="1" x14ac:dyDescent="0.25">
      <c r="A86" s="1194"/>
      <c r="B86" s="1439" t="s">
        <v>3457</v>
      </c>
      <c r="C86" s="1439"/>
      <c r="D86" s="1439"/>
      <c r="E86" s="1439"/>
      <c r="F86" s="1439"/>
      <c r="G86" s="1439"/>
      <c r="H86" s="1439"/>
      <c r="I86" s="1439"/>
    </row>
    <row r="87" spans="1:9" s="1192" customFormat="1" ht="16.5" customHeight="1" x14ac:dyDescent="0.25">
      <c r="A87" s="1190"/>
      <c r="B87" s="1435" t="s">
        <v>52</v>
      </c>
      <c r="C87" s="1435"/>
      <c r="D87" s="1435"/>
      <c r="E87" s="1435"/>
      <c r="F87" s="1435"/>
      <c r="G87" s="1435"/>
      <c r="H87" s="1435"/>
      <c r="I87" s="1435"/>
    </row>
    <row r="88" spans="1:9" s="1192" customFormat="1" ht="16.5" customHeight="1" x14ac:dyDescent="0.25">
      <c r="A88" s="1190"/>
      <c r="B88" s="1435" t="s">
        <v>52</v>
      </c>
      <c r="C88" s="1435"/>
      <c r="D88" s="1435"/>
      <c r="E88" s="1435"/>
      <c r="F88" s="1435"/>
      <c r="G88" s="1435"/>
      <c r="H88" s="1435"/>
      <c r="I88" s="1435"/>
    </row>
    <row r="89" spans="1:9" ht="3" customHeight="1" x14ac:dyDescent="0.25">
      <c r="A89" s="1184"/>
      <c r="B89" s="1184"/>
      <c r="C89" s="1184"/>
      <c r="D89" s="1184"/>
      <c r="E89" s="1184"/>
      <c r="F89" s="1184"/>
      <c r="G89" s="1184"/>
      <c r="H89" s="1184"/>
    </row>
    <row r="90" spans="1:9" ht="12.75" customHeight="1" x14ac:dyDescent="0.25">
      <c r="A90" s="1194" t="s">
        <v>39</v>
      </c>
      <c r="B90" s="1434" t="s">
        <v>3458</v>
      </c>
      <c r="C90" s="1434"/>
      <c r="D90" s="1434"/>
      <c r="E90" s="1434"/>
      <c r="F90" s="1434"/>
      <c r="G90" s="1434"/>
      <c r="H90" s="1188" t="s">
        <v>3438</v>
      </c>
      <c r="I90" s="1188" t="s">
        <v>3439</v>
      </c>
    </row>
    <row r="91" spans="1:9" ht="12.75" customHeight="1" x14ac:dyDescent="0.25">
      <c r="A91" s="1194"/>
      <c r="B91" s="1439" t="s">
        <v>3459</v>
      </c>
      <c r="C91" s="1439"/>
      <c r="D91" s="1439"/>
      <c r="E91" s="1439"/>
      <c r="F91" s="1439"/>
      <c r="G91" s="1439"/>
      <c r="H91" s="1439"/>
      <c r="I91" s="1439"/>
    </row>
    <row r="92" spans="1:9" s="1192" customFormat="1" ht="16.5" customHeight="1" x14ac:dyDescent="0.25">
      <c r="A92" s="1190"/>
      <c r="B92" s="1435" t="s">
        <v>52</v>
      </c>
      <c r="C92" s="1435"/>
      <c r="D92" s="1435"/>
      <c r="E92" s="1435"/>
      <c r="F92" s="1435"/>
      <c r="G92" s="1435"/>
      <c r="H92" s="1435"/>
      <c r="I92" s="1435"/>
    </row>
    <row r="93" spans="1:9" s="1192" customFormat="1" ht="16.5" customHeight="1" x14ac:dyDescent="0.25">
      <c r="A93" s="1190"/>
      <c r="B93" s="1435" t="s">
        <v>52</v>
      </c>
      <c r="C93" s="1435"/>
      <c r="D93" s="1435"/>
      <c r="E93" s="1435"/>
      <c r="F93" s="1435"/>
      <c r="G93" s="1435"/>
      <c r="H93" s="1435"/>
      <c r="I93" s="1435"/>
    </row>
    <row r="94" spans="1:9" s="1192" customFormat="1" ht="16.5" customHeight="1" x14ac:dyDescent="0.25">
      <c r="A94" s="1190"/>
      <c r="B94" s="1435" t="s">
        <v>52</v>
      </c>
      <c r="C94" s="1435"/>
      <c r="D94" s="1435"/>
      <c r="E94" s="1435"/>
      <c r="F94" s="1435"/>
      <c r="G94" s="1435"/>
      <c r="H94" s="1435"/>
      <c r="I94" s="1435"/>
    </row>
    <row r="95" spans="1:9" ht="3" customHeight="1" x14ac:dyDescent="0.25">
      <c r="A95" s="1184"/>
      <c r="B95" s="1184"/>
      <c r="C95" s="1184"/>
      <c r="D95" s="1184"/>
      <c r="E95" s="1184"/>
      <c r="F95" s="1184"/>
      <c r="G95" s="1184"/>
      <c r="H95" s="1184"/>
    </row>
    <row r="96" spans="1:9" ht="24.75" customHeight="1" x14ac:dyDescent="0.25">
      <c r="A96" s="1194" t="s">
        <v>620</v>
      </c>
      <c r="B96" s="1434" t="s">
        <v>3460</v>
      </c>
      <c r="C96" s="1434"/>
      <c r="D96" s="1434"/>
      <c r="E96" s="1434"/>
      <c r="F96" s="1434"/>
      <c r="G96" s="1434"/>
      <c r="H96" s="1188" t="s">
        <v>3438</v>
      </c>
      <c r="I96" s="1188" t="s">
        <v>3439</v>
      </c>
    </row>
    <row r="97" spans="1:9" ht="12.75" customHeight="1" x14ac:dyDescent="0.25">
      <c r="A97" s="1194"/>
      <c r="B97" s="1439" t="s">
        <v>3461</v>
      </c>
      <c r="C97" s="1439"/>
      <c r="D97" s="1439"/>
      <c r="E97" s="1439"/>
      <c r="F97" s="1439"/>
      <c r="G97" s="1439"/>
      <c r="H97" s="1439"/>
      <c r="I97" s="1439"/>
    </row>
    <row r="98" spans="1:9" s="1192" customFormat="1" ht="16.5" customHeight="1" x14ac:dyDescent="0.25">
      <c r="A98" s="1190"/>
      <c r="B98" s="1435" t="s">
        <v>52</v>
      </c>
      <c r="C98" s="1435"/>
      <c r="D98" s="1435"/>
      <c r="E98" s="1435"/>
      <c r="F98" s="1435"/>
      <c r="G98" s="1435"/>
      <c r="H98" s="1435"/>
      <c r="I98" s="1435"/>
    </row>
    <row r="99" spans="1:9" s="1192" customFormat="1" ht="16.5" customHeight="1" x14ac:dyDescent="0.25">
      <c r="A99" s="1190"/>
      <c r="B99" s="1435" t="s">
        <v>52</v>
      </c>
      <c r="C99" s="1435"/>
      <c r="D99" s="1435"/>
      <c r="E99" s="1435"/>
      <c r="F99" s="1435"/>
      <c r="G99" s="1435"/>
      <c r="H99" s="1435"/>
      <c r="I99" s="1435"/>
    </row>
    <row r="100" spans="1:9" ht="3" customHeight="1" x14ac:dyDescent="0.25">
      <c r="A100" s="1184"/>
      <c r="B100" s="1184"/>
      <c r="C100" s="1184"/>
      <c r="D100" s="1184"/>
      <c r="E100" s="1184"/>
      <c r="F100" s="1184"/>
      <c r="G100" s="1184"/>
      <c r="H100" s="1184"/>
    </row>
    <row r="101" spans="1:9" ht="24.75" customHeight="1" x14ac:dyDescent="0.25">
      <c r="A101" s="1194" t="s">
        <v>621</v>
      </c>
      <c r="B101" s="1434" t="s">
        <v>3462</v>
      </c>
      <c r="C101" s="1434"/>
      <c r="D101" s="1434"/>
      <c r="E101" s="1434"/>
      <c r="F101" s="1434"/>
      <c r="G101" s="1434"/>
      <c r="H101" s="1188" t="s">
        <v>3438</v>
      </c>
      <c r="I101" s="1188" t="s">
        <v>3439</v>
      </c>
    </row>
    <row r="102" spans="1:9" ht="12.75" customHeight="1" x14ac:dyDescent="0.25">
      <c r="A102" s="1194"/>
      <c r="B102" s="1439" t="s">
        <v>3637</v>
      </c>
      <c r="C102" s="1439"/>
      <c r="D102" s="1439"/>
      <c r="E102" s="1439"/>
      <c r="F102" s="1439"/>
      <c r="G102" s="1439"/>
      <c r="H102" s="1439"/>
      <c r="I102" s="1439"/>
    </row>
    <row r="103" spans="1:9" s="1239" customFormat="1" ht="12.75" customHeight="1" x14ac:dyDescent="0.25">
      <c r="A103" s="1194"/>
      <c r="B103" s="1238" t="s">
        <v>3638</v>
      </c>
      <c r="C103" s="1238"/>
      <c r="D103" s="1238"/>
      <c r="E103" s="1238"/>
      <c r="F103" s="1238" t="s">
        <v>3639</v>
      </c>
      <c r="G103" s="1238"/>
      <c r="H103" s="1238" t="s">
        <v>3640</v>
      </c>
      <c r="I103" s="1238"/>
    </row>
    <row r="104" spans="1:9" s="1192" customFormat="1" ht="16.5" customHeight="1" x14ac:dyDescent="0.25">
      <c r="A104" s="1190"/>
      <c r="B104" s="1206" t="s">
        <v>3641</v>
      </c>
      <c r="C104" s="1206"/>
      <c r="D104" s="1206"/>
      <c r="E104" s="1206"/>
      <c r="F104" s="1206" t="s">
        <v>3642</v>
      </c>
      <c r="G104" s="1206"/>
      <c r="H104" s="1188" t="s">
        <v>3438</v>
      </c>
      <c r="I104" s="1188" t="s">
        <v>3439</v>
      </c>
    </row>
    <row r="105" spans="1:9" s="1192" customFormat="1" ht="16.5" customHeight="1" x14ac:dyDescent="0.25">
      <c r="A105" s="1190"/>
      <c r="B105" s="1206" t="s">
        <v>3641</v>
      </c>
      <c r="C105" s="1206"/>
      <c r="D105" s="1206"/>
      <c r="E105" s="1206"/>
      <c r="F105" s="1206" t="s">
        <v>3642</v>
      </c>
      <c r="G105" s="1206"/>
      <c r="H105" s="1188" t="s">
        <v>3438</v>
      </c>
      <c r="I105" s="1188" t="s">
        <v>3439</v>
      </c>
    </row>
    <row r="106" spans="1:9" s="1192" customFormat="1" ht="16.5" customHeight="1" x14ac:dyDescent="0.25">
      <c r="A106" s="1190"/>
      <c r="B106" s="1206" t="s">
        <v>3641</v>
      </c>
      <c r="C106" s="1206"/>
      <c r="D106" s="1206"/>
      <c r="E106" s="1206"/>
      <c r="F106" s="1206" t="s">
        <v>3642</v>
      </c>
      <c r="G106" s="1206"/>
      <c r="H106" s="1188" t="s">
        <v>3438</v>
      </c>
      <c r="I106" s="1188" t="s">
        <v>3439</v>
      </c>
    </row>
    <row r="107" spans="1:9" ht="3" customHeight="1" x14ac:dyDescent="0.25">
      <c r="A107" s="1184"/>
      <c r="B107" s="1184"/>
      <c r="C107" s="1184"/>
      <c r="D107" s="1184"/>
      <c r="E107" s="1184"/>
      <c r="F107" s="1184"/>
      <c r="G107" s="1184"/>
      <c r="H107" s="1184"/>
    </row>
    <row r="108" spans="1:9" s="1335" customFormat="1" ht="3" customHeight="1" x14ac:dyDescent="0.25">
      <c r="A108" s="1184"/>
      <c r="B108" s="1184"/>
      <c r="C108" s="1184"/>
      <c r="D108" s="1184"/>
      <c r="E108" s="1184"/>
      <c r="F108" s="1184"/>
      <c r="G108" s="1184"/>
      <c r="H108" s="1184"/>
    </row>
    <row r="109" spans="1:9" s="1335" customFormat="1" ht="3" customHeight="1" x14ac:dyDescent="0.25">
      <c r="A109" s="1184"/>
      <c r="B109" s="1184"/>
      <c r="C109" s="1184"/>
      <c r="D109" s="1184"/>
      <c r="E109" s="1184"/>
      <c r="F109" s="1184"/>
      <c r="G109" s="1184"/>
      <c r="H109" s="1184"/>
    </row>
    <row r="110" spans="1:9" s="1335" customFormat="1" ht="3" customHeight="1" x14ac:dyDescent="0.25">
      <c r="A110" s="1184"/>
      <c r="B110" s="1184"/>
      <c r="C110" s="1184"/>
      <c r="D110" s="1184"/>
      <c r="E110" s="1184"/>
      <c r="F110" s="1184"/>
      <c r="G110" s="1184"/>
      <c r="H110" s="1184"/>
    </row>
    <row r="111" spans="1:9" s="1335" customFormat="1" ht="3" customHeight="1" x14ac:dyDescent="0.25">
      <c r="A111" s="1184"/>
      <c r="B111" s="1184"/>
      <c r="C111" s="1184"/>
      <c r="D111" s="1184"/>
      <c r="E111" s="1184"/>
      <c r="F111" s="1184"/>
      <c r="G111" s="1184"/>
      <c r="H111" s="1184"/>
    </row>
    <row r="112" spans="1:9" s="1335" customFormat="1" ht="3" customHeight="1" x14ac:dyDescent="0.25">
      <c r="A112" s="1184"/>
      <c r="B112" s="1184"/>
      <c r="C112" s="1184"/>
      <c r="D112" s="1184"/>
      <c r="E112" s="1184"/>
      <c r="F112" s="1184"/>
      <c r="G112" s="1184"/>
      <c r="H112" s="1184"/>
    </row>
    <row r="113" spans="1:9" ht="18.75" customHeight="1" x14ac:dyDescent="0.25">
      <c r="A113" s="1184"/>
      <c r="B113" s="1184"/>
      <c r="C113" s="1184"/>
      <c r="D113" s="1184"/>
      <c r="E113" s="1184"/>
      <c r="F113" s="1184"/>
      <c r="G113" s="1184"/>
      <c r="H113" s="1184"/>
      <c r="I113" s="1193" t="s">
        <v>74</v>
      </c>
    </row>
    <row r="114" spans="1:9" ht="24.75" customHeight="1" x14ac:dyDescent="0.25">
      <c r="A114" s="1194" t="s">
        <v>622</v>
      </c>
      <c r="B114" s="1434" t="s">
        <v>3463</v>
      </c>
      <c r="C114" s="1434"/>
      <c r="D114" s="1434"/>
      <c r="E114" s="1434"/>
      <c r="F114" s="1434"/>
      <c r="G114" s="1434"/>
      <c r="H114" s="1188" t="s">
        <v>3438</v>
      </c>
      <c r="I114" s="1188" t="s">
        <v>3439</v>
      </c>
    </row>
    <row r="115" spans="1:9" ht="12.75" customHeight="1" x14ac:dyDescent="0.25">
      <c r="A115" s="1194"/>
      <c r="B115" s="1434" t="s">
        <v>3464</v>
      </c>
      <c r="C115" s="1439"/>
      <c r="D115" s="1439"/>
      <c r="E115" s="1439"/>
      <c r="F115" s="1439"/>
      <c r="G115" s="1439"/>
      <c r="H115" s="1439"/>
      <c r="I115" s="1439"/>
    </row>
    <row r="116" spans="1:9" s="1192" customFormat="1" ht="16.5" customHeight="1" x14ac:dyDescent="0.25">
      <c r="A116" s="1190"/>
      <c r="B116" s="1435" t="s">
        <v>52</v>
      </c>
      <c r="C116" s="1435"/>
      <c r="D116" s="1435"/>
      <c r="E116" s="1435"/>
      <c r="F116" s="1435"/>
      <c r="G116" s="1435"/>
      <c r="H116" s="1435"/>
      <c r="I116" s="1435"/>
    </row>
    <row r="117" spans="1:9" s="1192" customFormat="1" ht="16.5" customHeight="1" x14ac:dyDescent="0.25">
      <c r="A117" s="1190"/>
      <c r="B117" s="1435" t="s">
        <v>52</v>
      </c>
      <c r="C117" s="1435"/>
      <c r="D117" s="1435"/>
      <c r="E117" s="1435"/>
      <c r="F117" s="1435"/>
      <c r="G117" s="1435"/>
      <c r="H117" s="1435"/>
      <c r="I117" s="1435"/>
    </row>
    <row r="118" spans="1:9" ht="3" customHeight="1" x14ac:dyDescent="0.25">
      <c r="A118" s="1184"/>
      <c r="B118" s="1184"/>
      <c r="C118" s="1184"/>
      <c r="D118" s="1184"/>
      <c r="E118" s="1184"/>
      <c r="F118" s="1184"/>
      <c r="G118" s="1184"/>
      <c r="H118" s="1184"/>
    </row>
    <row r="119" spans="1:9" ht="24.75" customHeight="1" x14ac:dyDescent="0.25">
      <c r="A119" s="1194" t="s">
        <v>623</v>
      </c>
      <c r="B119" s="1434" t="s">
        <v>3869</v>
      </c>
      <c r="C119" s="1434"/>
      <c r="D119" s="1434"/>
      <c r="E119" s="1434"/>
      <c r="F119" s="1434"/>
      <c r="G119" s="1434"/>
      <c r="H119" s="1188" t="s">
        <v>3438</v>
      </c>
      <c r="I119" s="1188" t="s">
        <v>3439</v>
      </c>
    </row>
    <row r="120" spans="1:9" ht="12.75" customHeight="1" x14ac:dyDescent="0.25">
      <c r="A120" s="1194"/>
      <c r="B120" s="1439" t="s">
        <v>3465</v>
      </c>
      <c r="C120" s="1439"/>
      <c r="D120" s="1439"/>
      <c r="E120" s="1439"/>
      <c r="F120" s="1439"/>
      <c r="G120" s="1439"/>
      <c r="H120" s="1439"/>
      <c r="I120" s="1439"/>
    </row>
    <row r="121" spans="1:9" s="1192" customFormat="1" ht="16.5" customHeight="1" x14ac:dyDescent="0.25">
      <c r="A121" s="1190"/>
      <c r="B121" s="1435" t="s">
        <v>52</v>
      </c>
      <c r="C121" s="1435"/>
      <c r="D121" s="1435"/>
      <c r="E121" s="1435"/>
      <c r="F121" s="1435"/>
      <c r="G121" s="1435"/>
      <c r="H121" s="1435"/>
      <c r="I121" s="1435"/>
    </row>
    <row r="122" spans="1:9" s="1192" customFormat="1" ht="16.5" customHeight="1" x14ac:dyDescent="0.25">
      <c r="A122" s="1190"/>
      <c r="B122" s="1435" t="s">
        <v>52</v>
      </c>
      <c r="C122" s="1435"/>
      <c r="D122" s="1435"/>
      <c r="E122" s="1435"/>
      <c r="F122" s="1435"/>
      <c r="G122" s="1435"/>
      <c r="H122" s="1435"/>
      <c r="I122" s="1435"/>
    </row>
    <row r="123" spans="1:9" s="1192" customFormat="1" ht="16.5" customHeight="1" x14ac:dyDescent="0.25">
      <c r="A123" s="1190"/>
      <c r="B123" s="1435" t="s">
        <v>52</v>
      </c>
      <c r="C123" s="1435"/>
      <c r="D123" s="1435"/>
      <c r="E123" s="1435"/>
      <c r="F123" s="1435"/>
      <c r="G123" s="1435"/>
      <c r="H123" s="1435"/>
      <c r="I123" s="1435"/>
    </row>
    <row r="124" spans="1:9" ht="3" customHeight="1" x14ac:dyDescent="0.25">
      <c r="A124" s="1184"/>
      <c r="B124" s="1184"/>
      <c r="C124" s="1184"/>
      <c r="D124" s="1184"/>
      <c r="E124" s="1184"/>
      <c r="F124" s="1184"/>
      <c r="G124" s="1184"/>
      <c r="H124" s="1184"/>
    </row>
    <row r="125" spans="1:9" s="1339" customFormat="1" ht="24.75" customHeight="1" x14ac:dyDescent="0.25">
      <c r="A125" s="1194" t="s">
        <v>26</v>
      </c>
      <c r="B125" s="1434" t="s">
        <v>3871</v>
      </c>
      <c r="C125" s="1434"/>
      <c r="D125" s="1434"/>
      <c r="E125" s="1434"/>
      <c r="F125" s="1434"/>
      <c r="G125" s="1434"/>
      <c r="H125" s="1188" t="s">
        <v>3438</v>
      </c>
      <c r="I125" s="1188" t="s">
        <v>3439</v>
      </c>
    </row>
    <row r="126" spans="1:9" s="1339" customFormat="1" ht="12.75" customHeight="1" x14ac:dyDescent="0.25">
      <c r="A126" s="1194"/>
      <c r="B126" s="1439" t="s">
        <v>3870</v>
      </c>
      <c r="C126" s="1439"/>
      <c r="D126" s="1439"/>
      <c r="E126" s="1439"/>
      <c r="F126" s="1439"/>
      <c r="G126" s="1439"/>
      <c r="H126" s="1439"/>
      <c r="I126" s="1439"/>
    </row>
    <row r="127" spans="1:9" s="1192" customFormat="1" ht="16.5" customHeight="1" x14ac:dyDescent="0.25">
      <c r="A127" s="1190"/>
      <c r="B127" s="1435" t="s">
        <v>52</v>
      </c>
      <c r="C127" s="1435"/>
      <c r="D127" s="1435"/>
      <c r="E127" s="1435"/>
      <c r="F127" s="1435"/>
      <c r="G127" s="1435"/>
      <c r="H127" s="1435"/>
      <c r="I127" s="1435"/>
    </row>
    <row r="128" spans="1:9" s="1192" customFormat="1" ht="16.5" customHeight="1" x14ac:dyDescent="0.25">
      <c r="A128" s="1190"/>
      <c r="B128" s="1435" t="s">
        <v>52</v>
      </c>
      <c r="C128" s="1435"/>
      <c r="D128" s="1435"/>
      <c r="E128" s="1435"/>
      <c r="F128" s="1435"/>
      <c r="G128" s="1435"/>
      <c r="H128" s="1435"/>
      <c r="I128" s="1435"/>
    </row>
    <row r="129" spans="1:9" s="1192" customFormat="1" ht="16.5" customHeight="1" x14ac:dyDescent="0.25">
      <c r="A129" s="1190"/>
      <c r="B129" s="1435" t="s">
        <v>52</v>
      </c>
      <c r="C129" s="1435"/>
      <c r="D129" s="1435"/>
      <c r="E129" s="1435"/>
      <c r="F129" s="1435"/>
      <c r="G129" s="1435"/>
      <c r="H129" s="1435"/>
      <c r="I129" s="1435"/>
    </row>
    <row r="130" spans="1:9" s="1339" customFormat="1" ht="3" customHeight="1" x14ac:dyDescent="0.25">
      <c r="A130" s="1184"/>
      <c r="B130" s="1184"/>
      <c r="C130" s="1184"/>
      <c r="D130" s="1184"/>
      <c r="E130" s="1184"/>
      <c r="F130" s="1184"/>
      <c r="G130" s="1184"/>
      <c r="H130" s="1184"/>
    </row>
    <row r="131" spans="1:9" s="1190" customFormat="1" ht="15" customHeight="1" x14ac:dyDescent="0.2">
      <c r="A131" s="1190" t="s">
        <v>28</v>
      </c>
      <c r="B131" s="1200" t="s">
        <v>3466</v>
      </c>
      <c r="C131" s="1206" t="s">
        <v>80</v>
      </c>
      <c r="D131" s="1200"/>
      <c r="E131" s="1200"/>
      <c r="F131" s="1200" t="s">
        <v>3467</v>
      </c>
      <c r="G131" s="1206" t="s">
        <v>82</v>
      </c>
      <c r="H131" s="1200"/>
    </row>
    <row r="132" spans="1:9" s="1184" customFormat="1" ht="16.95" customHeight="1" x14ac:dyDescent="0.2"/>
    <row r="133" spans="1:9" ht="12.75" customHeight="1" x14ac:dyDescent="0.25">
      <c r="A133" s="1180" t="s">
        <v>69</v>
      </c>
      <c r="B133" s="1432" t="s">
        <v>3468</v>
      </c>
      <c r="C133" s="1432"/>
      <c r="D133" s="1432"/>
      <c r="E133" s="1432"/>
      <c r="F133" s="1432"/>
      <c r="G133" s="1432"/>
      <c r="H133" s="1432"/>
      <c r="I133" s="1432"/>
    </row>
    <row r="134" spans="1:9" ht="6.75" customHeight="1" x14ac:dyDescent="0.25">
      <c r="A134" s="1433"/>
      <c r="B134" s="1433"/>
      <c r="C134" s="1433"/>
      <c r="D134" s="1433"/>
      <c r="E134" s="1433"/>
      <c r="F134" s="1433"/>
      <c r="G134" s="1433"/>
      <c r="H134" s="1433"/>
    </row>
    <row r="135" spans="1:9" x14ac:dyDescent="0.25">
      <c r="A135" s="1184" t="s">
        <v>3469</v>
      </c>
      <c r="B135" s="1184"/>
      <c r="C135" s="1178" t="str">
        <f>VLOOKUP(Input!K5,Input!L5:M7,2,FALSE)</f>
        <v>SE: Eintritt vor 50</v>
      </c>
      <c r="D135" s="1184"/>
      <c r="E135" s="1184"/>
      <c r="F135" s="1184"/>
      <c r="G135" s="1184"/>
      <c r="H135" s="1184"/>
    </row>
    <row r="136" spans="1:9" x14ac:dyDescent="0.25">
      <c r="A136" s="1184" t="s">
        <v>3470</v>
      </c>
      <c r="B136" s="1184"/>
      <c r="C136" s="1207" t="str">
        <f>'Ausweis-Certificat'!F9</f>
        <v>22011001</v>
      </c>
      <c r="D136" s="1184"/>
      <c r="E136" s="1184"/>
      <c r="F136" s="1184"/>
      <c r="G136" s="1184"/>
      <c r="H136" s="1184"/>
    </row>
    <row r="137" spans="1:9" x14ac:dyDescent="0.25">
      <c r="A137" s="1184" t="s">
        <v>1793</v>
      </c>
      <c r="B137" s="1184"/>
      <c r="C137" s="1208">
        <f>'Ausweis-Certificat'!E9</f>
        <v>423</v>
      </c>
      <c r="D137" s="1184"/>
      <c r="E137" s="1184"/>
      <c r="F137" s="1184"/>
      <c r="G137" s="1184"/>
      <c r="H137" s="1184"/>
    </row>
    <row r="138" spans="1:9" x14ac:dyDescent="0.25">
      <c r="A138" s="1184" t="s">
        <v>3471</v>
      </c>
      <c r="B138" s="1184"/>
      <c r="C138" s="1207">
        <f>Input!K32</f>
        <v>25</v>
      </c>
      <c r="D138" s="1184"/>
      <c r="E138" s="1184"/>
      <c r="F138" s="1184"/>
      <c r="G138" s="1184"/>
      <c r="H138" s="1184"/>
    </row>
    <row r="139" spans="1:9" x14ac:dyDescent="0.25">
      <c r="A139" s="1184" t="str">
        <f>IF(Wertebereich!B68=1,"","Rente AI")</f>
        <v>Rente AI</v>
      </c>
      <c r="B139" s="1184"/>
      <c r="C139" s="1207" t="str">
        <f>IF(Input!K37=1,"",CONCATENATE(VLOOKUP(Wertebereich!B68,Wertebereich!B70:C82,2,FALSE)*100,"%"))</f>
        <v>40%</v>
      </c>
      <c r="D139" s="1184"/>
      <c r="E139" s="1184"/>
      <c r="F139" s="1184"/>
      <c r="G139" s="1184"/>
      <c r="H139" s="1184"/>
    </row>
    <row r="140" spans="1:9" x14ac:dyDescent="0.25">
      <c r="A140" s="1184" t="str">
        <f>IF(Wertebereich!B44=1,"","Capital décès")</f>
        <v/>
      </c>
      <c r="B140" s="1184"/>
      <c r="C140" s="1272" t="str">
        <f>IF(Wertebereich!B44=1,"",IF(Wertebereich!B44=6,"Avoir de vieillesse",CONCATENATE(VLOOKUP(Wertebereich!B44,Wertebereich!B46:C49,2,FALSE)*100,"%")))</f>
        <v/>
      </c>
      <c r="D140" s="1184"/>
      <c r="E140" s="1184"/>
      <c r="F140" s="1184"/>
      <c r="G140" s="1184"/>
      <c r="H140" s="1184"/>
    </row>
    <row r="141" spans="1:9" x14ac:dyDescent="0.25">
      <c r="A141" s="1184" t="s">
        <v>3472</v>
      </c>
      <c r="B141" s="1184"/>
      <c r="C141" s="1207" t="str">
        <f>'Ausweis-Certificat'!J9</f>
        <v>102_</v>
      </c>
      <c r="D141" s="1184"/>
      <c r="E141" s="1184"/>
      <c r="F141" s="1184" t="s">
        <v>3807</v>
      </c>
      <c r="G141" s="1184"/>
      <c r="H141" s="1275">
        <f>IF(Input!E47="",50%,1-Input!E47)</f>
        <v>0.5</v>
      </c>
    </row>
    <row r="142" spans="1:9" x14ac:dyDescent="0.25">
      <c r="A142" s="1184"/>
      <c r="B142" s="1184"/>
      <c r="C142" s="1184"/>
      <c r="D142" s="1184"/>
      <c r="E142" s="1184"/>
      <c r="F142" s="1184"/>
      <c r="G142" s="1184"/>
      <c r="H142" s="1184"/>
    </row>
    <row r="143" spans="1:9" customFormat="1" ht="12.75" customHeight="1" x14ac:dyDescent="0.25">
      <c r="A143" s="739" t="s">
        <v>70</v>
      </c>
      <c r="B143" s="1423" t="s">
        <v>3473</v>
      </c>
      <c r="C143" s="1423"/>
      <c r="D143" s="1423"/>
      <c r="E143" s="1423"/>
      <c r="F143" s="1423"/>
      <c r="G143" s="1423"/>
      <c r="H143" s="1423"/>
      <c r="I143" s="1423"/>
    </row>
    <row r="144" spans="1:9" customFormat="1" ht="6.75" customHeight="1" x14ac:dyDescent="0.25">
      <c r="A144" s="1437"/>
      <c r="B144" s="1437"/>
      <c r="C144" s="1437"/>
      <c r="D144" s="1437"/>
      <c r="E144" s="1437"/>
      <c r="F144" s="1437"/>
      <c r="G144" s="1437"/>
      <c r="H144" s="1437"/>
    </row>
    <row r="145" spans="1:9" customFormat="1" ht="24" customHeight="1" x14ac:dyDescent="0.25">
      <c r="A145" s="1431" t="s">
        <v>3909</v>
      </c>
      <c r="B145" s="1438"/>
      <c r="C145" s="1438"/>
      <c r="D145" s="1438"/>
      <c r="E145" s="1438"/>
      <c r="F145" s="1438"/>
      <c r="G145" s="989"/>
      <c r="H145" s="1188" t="s">
        <v>3438</v>
      </c>
      <c r="I145" s="1188" t="s">
        <v>3439</v>
      </c>
    </row>
    <row r="146" spans="1:9" customFormat="1" ht="6.75" customHeight="1" x14ac:dyDescent="0.25">
      <c r="A146" s="989"/>
      <c r="B146" s="989"/>
      <c r="C146" s="989"/>
      <c r="D146" s="989"/>
      <c r="E146" s="989"/>
      <c r="F146" s="989"/>
      <c r="G146" s="989"/>
      <c r="H146" s="989"/>
    </row>
    <row r="147" spans="1:9" customFormat="1" ht="16.5" customHeight="1" x14ac:dyDescent="0.25">
      <c r="A147" s="989" t="s">
        <v>3474</v>
      </c>
      <c r="B147" s="989"/>
      <c r="C147" s="1407" t="s">
        <v>2103</v>
      </c>
      <c r="D147" s="1407"/>
      <c r="E147" s="1407"/>
      <c r="F147" s="1407"/>
      <c r="G147" s="1407"/>
      <c r="H147" s="1407"/>
      <c r="I147" s="1407"/>
    </row>
    <row r="148" spans="1:9" customFormat="1" ht="6" customHeight="1" x14ac:dyDescent="0.25">
      <c r="A148" s="989"/>
      <c r="B148" s="989"/>
      <c r="C148" s="1340"/>
      <c r="D148" s="1340"/>
      <c r="E148" s="1340"/>
      <c r="F148" s="1340"/>
      <c r="G148" s="1340"/>
      <c r="H148" s="1340"/>
      <c r="I148" s="1340"/>
    </row>
    <row r="149" spans="1:9" customFormat="1" ht="16.2" customHeight="1" x14ac:dyDescent="0.25">
      <c r="A149" s="989" t="s">
        <v>3886</v>
      </c>
      <c r="B149" s="989"/>
      <c r="C149" s="1407" t="s">
        <v>3881</v>
      </c>
      <c r="D149" s="1407"/>
      <c r="E149" s="1340"/>
      <c r="F149" s="1340" t="s">
        <v>3887</v>
      </c>
      <c r="G149" s="1340"/>
      <c r="H149" s="1340"/>
      <c r="I149" s="1340"/>
    </row>
    <row r="150" spans="1:9" customFormat="1" ht="6.75" customHeight="1" x14ac:dyDescent="0.25">
      <c r="A150" s="989"/>
      <c r="B150" s="989"/>
      <c r="C150" s="989"/>
      <c r="D150" s="989"/>
      <c r="E150" s="989"/>
      <c r="F150" s="989"/>
      <c r="G150" s="989"/>
      <c r="H150" s="989"/>
    </row>
    <row r="151" spans="1:9" customFormat="1" ht="22.5" customHeight="1" x14ac:dyDescent="0.25">
      <c r="A151" s="1431" t="s">
        <v>3475</v>
      </c>
      <c r="B151" s="1431"/>
      <c r="C151" s="1431"/>
      <c r="D151" s="1431"/>
      <c r="E151" s="1431"/>
      <c r="F151" s="1431"/>
      <c r="G151" s="1431"/>
      <c r="H151" s="1431"/>
      <c r="I151" s="1431"/>
    </row>
    <row r="152" spans="1:9" customFormat="1" x14ac:dyDescent="0.25">
      <c r="A152" s="989"/>
      <c r="B152" s="989"/>
      <c r="C152" s="989"/>
      <c r="D152" s="989"/>
      <c r="E152" s="989"/>
      <c r="F152" s="989"/>
      <c r="G152" s="989"/>
      <c r="H152" s="989"/>
    </row>
    <row r="153" spans="1:9" ht="12.75" customHeight="1" x14ac:dyDescent="0.25">
      <c r="A153" s="1180" t="s">
        <v>245</v>
      </c>
      <c r="B153" s="1432" t="s">
        <v>3476</v>
      </c>
      <c r="C153" s="1432"/>
      <c r="D153" s="1432"/>
      <c r="E153" s="1432"/>
      <c r="F153" s="1432"/>
      <c r="G153" s="1432"/>
      <c r="H153" s="1432"/>
      <c r="I153" s="1432"/>
    </row>
    <row r="154" spans="1:9" ht="6.75" customHeight="1" x14ac:dyDescent="0.25">
      <c r="A154" s="1433"/>
      <c r="B154" s="1433"/>
      <c r="C154" s="1433"/>
      <c r="D154" s="1433"/>
      <c r="E154" s="1433"/>
      <c r="F154" s="1433"/>
      <c r="G154" s="1433"/>
      <c r="H154" s="1433"/>
    </row>
    <row r="155" spans="1:9" ht="108.75" customHeight="1" x14ac:dyDescent="0.25">
      <c r="A155" s="1434" t="s">
        <v>3910</v>
      </c>
      <c r="B155" s="1434"/>
      <c r="C155" s="1434"/>
      <c r="D155" s="1434"/>
      <c r="E155" s="1434"/>
      <c r="F155" s="1434"/>
      <c r="G155" s="1434"/>
      <c r="H155" s="1434"/>
      <c r="I155" s="1434"/>
    </row>
    <row r="156" spans="1:9" x14ac:dyDescent="0.25">
      <c r="A156" s="1184" t="s">
        <v>3477</v>
      </c>
      <c r="B156" s="1184"/>
      <c r="C156" s="1184"/>
      <c r="D156" s="1184"/>
      <c r="E156" s="1184"/>
      <c r="F156" s="1184" t="s">
        <v>3478</v>
      </c>
      <c r="G156" s="1184"/>
      <c r="H156" s="1184"/>
    </row>
    <row r="157" spans="1:9" ht="39" customHeight="1" x14ac:dyDescent="0.25">
      <c r="A157" s="1435" t="s">
        <v>47</v>
      </c>
      <c r="B157" s="1435"/>
      <c r="C157" s="1435"/>
      <c r="D157" s="1435"/>
      <c r="E157" s="1184"/>
      <c r="F157" s="1436" t="s">
        <v>32</v>
      </c>
      <c r="G157" s="1436"/>
      <c r="H157" s="1436"/>
      <c r="I157" s="1436"/>
    </row>
    <row r="158" spans="1:9" x14ac:dyDescent="0.25">
      <c r="A158" s="1184"/>
      <c r="B158" s="1184"/>
      <c r="C158" s="1184"/>
      <c r="D158" s="1184"/>
      <c r="E158" s="1184"/>
      <c r="F158" s="1184"/>
      <c r="G158" s="1184"/>
      <c r="H158" s="1184"/>
    </row>
    <row r="159" spans="1:9" x14ac:dyDescent="0.25">
      <c r="A159" s="1184"/>
      <c r="B159" s="1184"/>
      <c r="C159" s="1184"/>
      <c r="D159" s="1184"/>
      <c r="E159" s="1184"/>
      <c r="F159" s="1184"/>
      <c r="G159" s="1184"/>
      <c r="H159" s="1184"/>
    </row>
    <row r="160" spans="1:9" x14ac:dyDescent="0.25">
      <c r="A160" s="1184"/>
      <c r="B160" s="1184"/>
      <c r="C160" s="1184"/>
      <c r="D160" s="1184"/>
      <c r="E160" s="1184"/>
      <c r="F160" s="1184"/>
      <c r="G160" s="1184"/>
      <c r="H160" s="1184"/>
    </row>
    <row r="161" spans="1:9" x14ac:dyDescent="0.25">
      <c r="A161" s="1184"/>
      <c r="B161" s="1184"/>
      <c r="C161" s="1184"/>
      <c r="D161" s="1184"/>
      <c r="E161" s="1184"/>
      <c r="F161" s="1184"/>
      <c r="G161" s="1184"/>
      <c r="H161" s="1184"/>
    </row>
    <row r="162" spans="1:9" x14ac:dyDescent="0.25">
      <c r="A162" s="1184"/>
      <c r="B162" s="1184"/>
      <c r="C162" s="1184"/>
      <c r="D162" s="1184"/>
      <c r="E162" s="1184"/>
      <c r="F162" s="1184"/>
      <c r="G162" s="1184"/>
      <c r="H162" s="1184"/>
    </row>
    <row r="163" spans="1:9" x14ac:dyDescent="0.25">
      <c r="A163" s="1184"/>
      <c r="B163" s="1184"/>
      <c r="C163" s="1184"/>
      <c r="D163" s="1184"/>
      <c r="E163" s="1184"/>
      <c r="F163" s="1184"/>
      <c r="G163" s="1184"/>
      <c r="H163" s="1184"/>
    </row>
    <row r="164" spans="1:9" x14ac:dyDescent="0.25">
      <c r="A164" s="1184"/>
      <c r="B164" s="1184"/>
      <c r="C164" s="1184"/>
      <c r="D164" s="1184"/>
      <c r="E164" s="1184"/>
      <c r="F164" s="1184"/>
      <c r="G164" s="1184"/>
      <c r="H164" s="1184"/>
    </row>
    <row r="165" spans="1:9" ht="38.25" customHeight="1" x14ac:dyDescent="0.25">
      <c r="A165" s="1184"/>
      <c r="B165" s="1184"/>
      <c r="C165" s="1184"/>
      <c r="D165" s="1184"/>
      <c r="E165" s="1184"/>
      <c r="F165" s="1184"/>
      <c r="G165" s="1184"/>
      <c r="H165" s="1184"/>
      <c r="I165" s="1193" t="s">
        <v>75</v>
      </c>
    </row>
    <row r="166" spans="1:9" x14ac:dyDescent="0.25">
      <c r="A166" s="1184"/>
      <c r="B166" s="1184"/>
      <c r="C166" s="1184"/>
      <c r="D166" s="1184"/>
      <c r="E166" s="1184"/>
      <c r="F166" s="1184"/>
      <c r="G166" s="1184"/>
      <c r="H166" s="1184"/>
    </row>
    <row r="167" spans="1:9" x14ac:dyDescent="0.25">
      <c r="A167" s="1184"/>
      <c r="B167" s="1184"/>
      <c r="C167" s="1184"/>
      <c r="D167" s="1184"/>
      <c r="E167" s="1184"/>
      <c r="F167" s="1184"/>
      <c r="G167" s="1184"/>
      <c r="H167" s="1184"/>
    </row>
    <row r="168" spans="1:9" x14ac:dyDescent="0.25">
      <c r="A168" s="1184"/>
      <c r="B168" s="1184"/>
      <c r="C168" s="1184"/>
      <c r="D168" s="1184"/>
      <c r="E168" s="1184"/>
      <c r="F168" s="1184"/>
      <c r="G168" s="1184"/>
      <c r="H168" s="1184"/>
    </row>
    <row r="169" spans="1:9" x14ac:dyDescent="0.25">
      <c r="A169" s="1184"/>
      <c r="B169" s="1184"/>
      <c r="C169" s="1184"/>
      <c r="D169" s="1184"/>
      <c r="E169" s="1184"/>
      <c r="F169" s="1184"/>
      <c r="G169" s="1184"/>
      <c r="H169" s="1184"/>
    </row>
    <row r="170" spans="1:9" x14ac:dyDescent="0.25">
      <c r="A170" s="1184"/>
      <c r="B170" s="1184"/>
      <c r="C170" s="1184"/>
      <c r="D170" s="1184"/>
      <c r="E170" s="1184"/>
      <c r="F170" s="1184"/>
      <c r="G170" s="1184"/>
      <c r="H170" s="1184"/>
    </row>
    <row r="171" spans="1:9" x14ac:dyDescent="0.25">
      <c r="A171" s="1184"/>
      <c r="B171" s="1184"/>
      <c r="C171" s="1184"/>
      <c r="D171" s="1184"/>
      <c r="E171" s="1184"/>
      <c r="F171" s="1184"/>
      <c r="G171" s="1184"/>
      <c r="H171" s="1184"/>
    </row>
    <row r="172" spans="1:9" x14ac:dyDescent="0.25">
      <c r="A172" s="1184"/>
      <c r="B172" s="1184"/>
      <c r="C172" s="1184"/>
      <c r="D172" s="1184"/>
      <c r="E172" s="1184"/>
      <c r="F172" s="1184"/>
      <c r="G172" s="1184"/>
      <c r="H172" s="1184"/>
    </row>
    <row r="173" spans="1:9" x14ac:dyDescent="0.25">
      <c r="A173" s="1184"/>
      <c r="B173" s="1184"/>
      <c r="C173" s="1184"/>
      <c r="D173" s="1184"/>
      <c r="E173" s="1184"/>
      <c r="F173" s="1184"/>
      <c r="G173" s="1184"/>
      <c r="H173" s="1184"/>
    </row>
    <row r="174" spans="1:9" x14ac:dyDescent="0.25">
      <c r="A174" s="1184"/>
      <c r="B174" s="1184"/>
      <c r="C174" s="1184"/>
      <c r="D174" s="1184"/>
      <c r="E174" s="1184"/>
      <c r="F174" s="1184"/>
      <c r="G174" s="1184"/>
      <c r="H174" s="1184"/>
    </row>
    <row r="175" spans="1:9" x14ac:dyDescent="0.25">
      <c r="A175" s="1184"/>
      <c r="B175" s="1184"/>
      <c r="C175" s="1184"/>
      <c r="D175" s="1184"/>
      <c r="E175" s="1184"/>
      <c r="F175" s="1184"/>
      <c r="G175" s="1184"/>
      <c r="H175" s="1184"/>
    </row>
    <row r="176" spans="1:9" x14ac:dyDescent="0.25">
      <c r="A176" s="1184"/>
      <c r="B176" s="1184"/>
      <c r="C176" s="1184"/>
      <c r="D176" s="1184"/>
      <c r="E176" s="1184"/>
      <c r="F176" s="1184"/>
      <c r="G176" s="1184"/>
      <c r="H176" s="1184"/>
    </row>
    <row r="177" spans="1:8" x14ac:dyDescent="0.25">
      <c r="A177" s="1184"/>
      <c r="B177" s="1184"/>
      <c r="C177" s="1184"/>
      <c r="D177" s="1184"/>
      <c r="E177" s="1184"/>
      <c r="F177" s="1184"/>
      <c r="G177" s="1184"/>
      <c r="H177" s="1184"/>
    </row>
    <row r="178" spans="1:8" x14ac:dyDescent="0.25">
      <c r="A178" s="1184"/>
      <c r="B178" s="1184"/>
      <c r="C178" s="1184"/>
      <c r="D178" s="1184"/>
      <c r="E178" s="1184"/>
      <c r="F178" s="1184"/>
      <c r="G178" s="1184"/>
      <c r="H178" s="1184"/>
    </row>
    <row r="179" spans="1:8" x14ac:dyDescent="0.25">
      <c r="A179" s="1184"/>
      <c r="B179" s="1184"/>
      <c r="C179" s="1184"/>
      <c r="D179" s="1184"/>
      <c r="E179" s="1184"/>
      <c r="F179" s="1184"/>
      <c r="G179" s="1184"/>
      <c r="H179" s="1184"/>
    </row>
    <row r="180" spans="1:8" x14ac:dyDescent="0.25">
      <c r="A180" s="1184"/>
      <c r="B180" s="1184"/>
      <c r="C180" s="1184"/>
      <c r="D180" s="1184"/>
      <c r="E180" s="1184"/>
      <c r="F180" s="1184"/>
      <c r="G180" s="1184"/>
      <c r="H180" s="1184"/>
    </row>
    <row r="181" spans="1:8" x14ac:dyDescent="0.25">
      <c r="A181" s="1184"/>
      <c r="B181" s="1184"/>
      <c r="C181" s="1184"/>
      <c r="D181" s="1184"/>
      <c r="E181" s="1184"/>
      <c r="F181" s="1184"/>
      <c r="G181" s="1184"/>
      <c r="H181" s="1184"/>
    </row>
    <row r="182" spans="1:8" x14ac:dyDescent="0.25">
      <c r="A182" s="1184"/>
      <c r="B182" s="1184"/>
      <c r="C182" s="1184"/>
      <c r="D182" s="1184"/>
      <c r="E182" s="1184"/>
      <c r="F182" s="1184"/>
      <c r="G182" s="1184"/>
      <c r="H182" s="1184"/>
    </row>
    <row r="183" spans="1:8" x14ac:dyDescent="0.25">
      <c r="A183" s="1184"/>
      <c r="B183" s="1184"/>
      <c r="C183" s="1184"/>
      <c r="D183" s="1184"/>
      <c r="E183" s="1184"/>
      <c r="F183" s="1184"/>
      <c r="G183" s="1184"/>
      <c r="H183" s="1184"/>
    </row>
    <row r="184" spans="1:8" x14ac:dyDescent="0.25">
      <c r="A184" s="1184"/>
      <c r="B184" s="1184"/>
      <c r="C184" s="1184"/>
      <c r="D184" s="1184"/>
      <c r="E184" s="1184"/>
      <c r="F184" s="1184"/>
      <c r="G184" s="1184"/>
      <c r="H184" s="1184"/>
    </row>
    <row r="185" spans="1:8" x14ac:dyDescent="0.25">
      <c r="A185" s="1184"/>
      <c r="B185" s="1184"/>
      <c r="C185" s="1184"/>
      <c r="D185" s="1184"/>
      <c r="E185" s="1184"/>
      <c r="F185" s="1184"/>
      <c r="G185" s="1184"/>
      <c r="H185" s="1184"/>
    </row>
    <row r="186" spans="1:8" x14ac:dyDescent="0.25">
      <c r="A186" s="1184"/>
      <c r="B186" s="1184"/>
      <c r="C186" s="1184"/>
      <c r="D186" s="1184"/>
      <c r="E186" s="1184"/>
      <c r="F186" s="1184"/>
      <c r="G186" s="1184"/>
      <c r="H186" s="1184"/>
    </row>
    <row r="187" spans="1:8" x14ac:dyDescent="0.25">
      <c r="A187" s="1184"/>
      <c r="B187" s="1184"/>
      <c r="C187" s="1184"/>
      <c r="D187" s="1184"/>
      <c r="E187" s="1184"/>
      <c r="F187" s="1184"/>
      <c r="G187" s="1184"/>
      <c r="H187" s="1184"/>
    </row>
    <row r="188" spans="1:8" x14ac:dyDescent="0.25">
      <c r="A188" s="1184"/>
      <c r="B188" s="1184"/>
      <c r="C188" s="1184"/>
      <c r="D188" s="1184"/>
      <c r="E188" s="1184"/>
      <c r="F188" s="1184"/>
      <c r="G188" s="1184"/>
      <c r="H188" s="1184"/>
    </row>
    <row r="189" spans="1:8" x14ac:dyDescent="0.25">
      <c r="A189" s="1184"/>
      <c r="B189" s="1184"/>
      <c r="C189" s="1184"/>
      <c r="D189" s="1184"/>
      <c r="E189" s="1184"/>
      <c r="F189" s="1184"/>
      <c r="G189" s="1184"/>
      <c r="H189" s="1184"/>
    </row>
    <row r="190" spans="1:8" x14ac:dyDescent="0.25">
      <c r="A190" s="1184"/>
      <c r="B190" s="1184"/>
      <c r="C190" s="1184"/>
      <c r="D190" s="1184"/>
      <c r="E190" s="1184"/>
      <c r="F190" s="1184"/>
      <c r="G190" s="1184"/>
      <c r="H190" s="1184"/>
    </row>
    <row r="191" spans="1:8" x14ac:dyDescent="0.25">
      <c r="A191" s="1184"/>
      <c r="B191" s="1184"/>
      <c r="C191" s="1184"/>
      <c r="D191" s="1184"/>
      <c r="E191" s="1184"/>
      <c r="F191" s="1184"/>
      <c r="G191" s="1184"/>
      <c r="H191" s="1184"/>
    </row>
    <row r="192" spans="1:8" x14ac:dyDescent="0.25">
      <c r="A192" s="1184"/>
      <c r="B192" s="1184"/>
      <c r="C192" s="1184"/>
      <c r="D192" s="1184"/>
      <c r="E192" s="1184"/>
      <c r="F192" s="1184"/>
      <c r="G192" s="1184"/>
      <c r="H192" s="1184"/>
    </row>
    <row r="193" spans="1:8" x14ac:dyDescent="0.25">
      <c r="A193" s="1184"/>
      <c r="B193" s="1184"/>
      <c r="C193" s="1184"/>
      <c r="D193" s="1184"/>
      <c r="E193" s="1184"/>
      <c r="F193" s="1184"/>
      <c r="G193" s="1184"/>
      <c r="H193" s="1184"/>
    </row>
    <row r="194" spans="1:8" x14ac:dyDescent="0.25">
      <c r="A194" s="1184"/>
      <c r="B194" s="1184"/>
      <c r="C194" s="1184"/>
      <c r="D194" s="1184"/>
      <c r="E194" s="1184"/>
      <c r="F194" s="1184"/>
      <c r="G194" s="1184"/>
      <c r="H194" s="1184"/>
    </row>
    <row r="195" spans="1:8" x14ac:dyDescent="0.25">
      <c r="A195" s="1184"/>
      <c r="B195" s="1184"/>
      <c r="C195" s="1184"/>
      <c r="D195" s="1184"/>
      <c r="E195" s="1184"/>
      <c r="F195" s="1184"/>
      <c r="G195" s="1184"/>
      <c r="H195" s="1184"/>
    </row>
    <row r="196" spans="1:8" x14ac:dyDescent="0.25">
      <c r="A196" s="1184"/>
      <c r="B196" s="1184"/>
      <c r="C196" s="1184"/>
      <c r="D196" s="1184"/>
      <c r="E196" s="1184"/>
      <c r="F196" s="1184"/>
      <c r="G196" s="1184"/>
      <c r="H196" s="1184"/>
    </row>
    <row r="197" spans="1:8" x14ac:dyDescent="0.25">
      <c r="A197" s="1184"/>
      <c r="B197" s="1184"/>
      <c r="C197" s="1184"/>
      <c r="D197" s="1184"/>
      <c r="E197" s="1184"/>
      <c r="F197" s="1184"/>
      <c r="G197" s="1184"/>
      <c r="H197" s="1184"/>
    </row>
    <row r="198" spans="1:8" x14ac:dyDescent="0.25">
      <c r="A198" s="1184"/>
      <c r="B198" s="1184"/>
      <c r="C198" s="1184"/>
      <c r="D198" s="1184"/>
      <c r="E198" s="1184"/>
      <c r="F198" s="1184"/>
      <c r="G198" s="1184"/>
      <c r="H198" s="1184"/>
    </row>
    <row r="199" spans="1:8" x14ac:dyDescent="0.25">
      <c r="A199" s="1184"/>
      <c r="B199" s="1184"/>
      <c r="C199" s="1184"/>
      <c r="D199" s="1184"/>
      <c r="E199" s="1184"/>
      <c r="F199" s="1184"/>
      <c r="G199" s="1184"/>
      <c r="H199" s="1184"/>
    </row>
    <row r="200" spans="1:8" x14ac:dyDescent="0.25">
      <c r="A200" s="1184"/>
      <c r="B200" s="1184"/>
      <c r="C200" s="1184"/>
      <c r="D200" s="1184"/>
      <c r="E200" s="1184"/>
      <c r="F200" s="1184"/>
      <c r="G200" s="1184"/>
      <c r="H200" s="1184"/>
    </row>
    <row r="201" spans="1:8" x14ac:dyDescent="0.25">
      <c r="A201" s="1184"/>
      <c r="B201" s="1184"/>
      <c r="C201" s="1184"/>
      <c r="D201" s="1184"/>
      <c r="E201" s="1184"/>
      <c r="F201" s="1184"/>
      <c r="G201" s="1184"/>
      <c r="H201" s="1184"/>
    </row>
    <row r="202" spans="1:8" x14ac:dyDescent="0.25">
      <c r="A202" s="1184"/>
      <c r="B202" s="1184"/>
      <c r="C202" s="1184"/>
      <c r="D202" s="1184"/>
      <c r="E202" s="1184"/>
      <c r="F202" s="1184"/>
      <c r="G202" s="1184"/>
      <c r="H202" s="1184"/>
    </row>
    <row r="203" spans="1:8" x14ac:dyDescent="0.25">
      <c r="A203" s="1184"/>
      <c r="B203" s="1184"/>
      <c r="C203" s="1184"/>
      <c r="D203" s="1184"/>
      <c r="E203" s="1184"/>
      <c r="F203" s="1184"/>
      <c r="G203" s="1184"/>
      <c r="H203" s="1184"/>
    </row>
    <row r="204" spans="1:8" x14ac:dyDescent="0.25">
      <c r="A204" s="1184"/>
      <c r="B204" s="1184"/>
      <c r="C204" s="1184"/>
      <c r="D204" s="1184"/>
      <c r="E204" s="1184"/>
      <c r="F204" s="1184"/>
      <c r="G204" s="1184"/>
      <c r="H204" s="1184"/>
    </row>
    <row r="205" spans="1:8" x14ac:dyDescent="0.25">
      <c r="A205" s="1184"/>
      <c r="B205" s="1184"/>
      <c r="C205" s="1184"/>
      <c r="D205" s="1184"/>
      <c r="E205" s="1184"/>
      <c r="F205" s="1184"/>
      <c r="G205" s="1184"/>
      <c r="H205" s="1184"/>
    </row>
    <row r="206" spans="1:8" x14ac:dyDescent="0.25">
      <c r="A206" s="1184"/>
      <c r="B206" s="1184"/>
      <c r="C206" s="1184"/>
      <c r="D206" s="1184"/>
      <c r="E206" s="1184"/>
      <c r="F206" s="1184"/>
      <c r="G206" s="1184"/>
      <c r="H206" s="1184"/>
    </row>
    <row r="207" spans="1:8" x14ac:dyDescent="0.25">
      <c r="A207" s="1184"/>
      <c r="B207" s="1184"/>
      <c r="C207" s="1184"/>
      <c r="D207" s="1184"/>
      <c r="E207" s="1184"/>
      <c r="F207" s="1184"/>
      <c r="G207" s="1184"/>
      <c r="H207" s="1184"/>
    </row>
    <row r="208" spans="1:8" x14ac:dyDescent="0.25">
      <c r="A208" s="1184"/>
      <c r="B208" s="1184"/>
      <c r="C208" s="1184"/>
      <c r="D208" s="1184"/>
      <c r="E208" s="1184"/>
      <c r="F208" s="1184"/>
      <c r="G208" s="1184"/>
      <c r="H208" s="1184"/>
    </row>
    <row r="209" spans="1:8" x14ac:dyDescent="0.25">
      <c r="A209" s="1184"/>
      <c r="B209" s="1184"/>
      <c r="C209" s="1184"/>
      <c r="D209" s="1184"/>
      <c r="E209" s="1184"/>
      <c r="F209" s="1184"/>
      <c r="G209" s="1184"/>
      <c r="H209" s="1184"/>
    </row>
    <row r="210" spans="1:8" x14ac:dyDescent="0.25">
      <c r="A210" s="1184"/>
      <c r="B210" s="1184"/>
      <c r="C210" s="1184"/>
      <c r="D210" s="1184"/>
      <c r="E210" s="1184"/>
      <c r="F210" s="1184"/>
      <c r="G210" s="1184"/>
      <c r="H210" s="1184"/>
    </row>
    <row r="211" spans="1:8" x14ac:dyDescent="0.25">
      <c r="A211" s="1184"/>
      <c r="B211" s="1184"/>
      <c r="C211" s="1184"/>
      <c r="D211" s="1184"/>
      <c r="E211" s="1184"/>
      <c r="F211" s="1184"/>
      <c r="G211" s="1184"/>
      <c r="H211" s="1184"/>
    </row>
    <row r="212" spans="1:8" x14ac:dyDescent="0.25">
      <c r="A212" s="1184"/>
      <c r="B212" s="1184"/>
      <c r="C212" s="1184"/>
      <c r="D212" s="1184"/>
      <c r="E212" s="1184"/>
      <c r="F212" s="1184"/>
      <c r="G212" s="1184"/>
      <c r="H212" s="1184"/>
    </row>
    <row r="213" spans="1:8" x14ac:dyDescent="0.25">
      <c r="A213" s="1184"/>
      <c r="B213" s="1184"/>
      <c r="C213" s="1184"/>
      <c r="D213" s="1184"/>
      <c r="E213" s="1184"/>
      <c r="F213" s="1184"/>
      <c r="G213" s="1184"/>
      <c r="H213" s="1184"/>
    </row>
    <row r="214" spans="1:8" x14ac:dyDescent="0.25">
      <c r="A214" s="1184"/>
      <c r="B214" s="1184"/>
      <c r="C214" s="1184"/>
      <c r="D214" s="1184"/>
      <c r="E214" s="1184"/>
      <c r="F214" s="1184"/>
      <c r="G214" s="1184"/>
      <c r="H214" s="1184"/>
    </row>
    <row r="215" spans="1:8" x14ac:dyDescent="0.25">
      <c r="A215" s="1184"/>
      <c r="B215" s="1184"/>
      <c r="C215" s="1184"/>
      <c r="D215" s="1184"/>
      <c r="E215" s="1184"/>
      <c r="F215" s="1184"/>
      <c r="G215" s="1184"/>
      <c r="H215" s="1184"/>
    </row>
    <row r="216" spans="1:8" x14ac:dyDescent="0.25">
      <c r="A216" s="1184"/>
      <c r="B216" s="1184"/>
      <c r="C216" s="1184"/>
      <c r="D216" s="1184"/>
      <c r="E216" s="1184"/>
      <c r="F216" s="1184"/>
      <c r="G216" s="1184"/>
      <c r="H216" s="1184"/>
    </row>
    <row r="217" spans="1:8" x14ac:dyDescent="0.25">
      <c r="A217" s="1184"/>
      <c r="B217" s="1184"/>
      <c r="C217" s="1184"/>
      <c r="D217" s="1184"/>
      <c r="E217" s="1184"/>
      <c r="F217" s="1184"/>
      <c r="G217" s="1184"/>
      <c r="H217" s="1184"/>
    </row>
    <row r="218" spans="1:8" x14ac:dyDescent="0.25">
      <c r="A218" s="1184"/>
      <c r="B218" s="1184"/>
      <c r="C218" s="1184"/>
      <c r="D218" s="1184"/>
      <c r="E218" s="1184"/>
      <c r="F218" s="1184"/>
      <c r="G218" s="1184"/>
      <c r="H218" s="1184"/>
    </row>
    <row r="219" spans="1:8" x14ac:dyDescent="0.25">
      <c r="A219" s="1184"/>
      <c r="B219" s="1184"/>
      <c r="C219" s="1184"/>
      <c r="D219" s="1184"/>
      <c r="E219" s="1184"/>
      <c r="F219" s="1184"/>
      <c r="G219" s="1184"/>
      <c r="H219" s="1184"/>
    </row>
    <row r="220" spans="1:8" x14ac:dyDescent="0.25">
      <c r="A220" s="1184"/>
      <c r="B220" s="1184"/>
      <c r="C220" s="1184"/>
      <c r="D220" s="1184"/>
      <c r="E220" s="1184"/>
      <c r="F220" s="1184"/>
      <c r="G220" s="1184"/>
      <c r="H220" s="1184"/>
    </row>
    <row r="221" spans="1:8" x14ac:dyDescent="0.25">
      <c r="A221" s="1184"/>
      <c r="B221" s="1184"/>
      <c r="C221" s="1184"/>
      <c r="D221" s="1184"/>
      <c r="E221" s="1184"/>
      <c r="F221" s="1184"/>
      <c r="G221" s="1184"/>
      <c r="H221" s="1184"/>
    </row>
    <row r="222" spans="1:8" x14ac:dyDescent="0.25">
      <c r="A222" s="1184"/>
      <c r="B222" s="1184"/>
      <c r="C222" s="1184"/>
      <c r="D222" s="1184"/>
      <c r="E222" s="1184"/>
      <c r="F222" s="1184"/>
      <c r="G222" s="1184"/>
      <c r="H222" s="1184"/>
    </row>
    <row r="223" spans="1:8" x14ac:dyDescent="0.25">
      <c r="A223" s="1184"/>
      <c r="B223" s="1184"/>
      <c r="C223" s="1184"/>
      <c r="D223" s="1184"/>
      <c r="E223" s="1184"/>
      <c r="F223" s="1184"/>
      <c r="G223" s="1184"/>
      <c r="H223" s="1184"/>
    </row>
    <row r="224" spans="1:8" x14ac:dyDescent="0.25">
      <c r="A224" s="1184"/>
      <c r="B224" s="1184"/>
      <c r="C224" s="1184"/>
      <c r="D224" s="1184"/>
      <c r="E224" s="1184"/>
      <c r="F224" s="1184"/>
      <c r="G224" s="1184"/>
      <c r="H224" s="1184"/>
    </row>
    <row r="225" spans="1:8" x14ac:dyDescent="0.25">
      <c r="A225" s="1184"/>
      <c r="B225" s="1184"/>
      <c r="C225" s="1184"/>
      <c r="D225" s="1184"/>
      <c r="E225" s="1184"/>
      <c r="F225" s="1184"/>
      <c r="G225" s="1184"/>
      <c r="H225" s="1184"/>
    </row>
    <row r="226" spans="1:8" x14ac:dyDescent="0.25">
      <c r="A226" s="1184"/>
      <c r="B226" s="1184"/>
      <c r="C226" s="1184"/>
      <c r="D226" s="1184"/>
      <c r="E226" s="1184"/>
      <c r="F226" s="1184"/>
      <c r="G226" s="1184"/>
      <c r="H226" s="1184"/>
    </row>
    <row r="227" spans="1:8" x14ac:dyDescent="0.25">
      <c r="A227" s="1184"/>
      <c r="B227" s="1184"/>
      <c r="C227" s="1184"/>
      <c r="D227" s="1184"/>
      <c r="E227" s="1184"/>
      <c r="F227" s="1184"/>
      <c r="G227" s="1184"/>
      <c r="H227" s="1184"/>
    </row>
    <row r="228" spans="1:8" x14ac:dyDescent="0.25">
      <c r="A228" s="1184"/>
      <c r="B228" s="1184"/>
      <c r="C228" s="1184"/>
      <c r="D228" s="1184"/>
      <c r="E228" s="1184"/>
      <c r="F228" s="1184"/>
      <c r="G228" s="1184"/>
      <c r="H228" s="1184"/>
    </row>
    <row r="229" spans="1:8" x14ac:dyDescent="0.25">
      <c r="A229" s="1184"/>
      <c r="B229" s="1184"/>
      <c r="C229" s="1184"/>
      <c r="D229" s="1184"/>
      <c r="E229" s="1184"/>
      <c r="F229" s="1184"/>
      <c r="G229" s="1184"/>
      <c r="H229" s="1184"/>
    </row>
    <row r="230" spans="1:8" x14ac:dyDescent="0.25">
      <c r="A230" s="1184"/>
      <c r="B230" s="1184"/>
      <c r="C230" s="1184"/>
      <c r="D230" s="1184"/>
      <c r="E230" s="1184"/>
      <c r="F230" s="1184"/>
      <c r="G230" s="1184"/>
      <c r="H230" s="1184"/>
    </row>
    <row r="231" spans="1:8" x14ac:dyDescent="0.25">
      <c r="A231" s="1184"/>
      <c r="B231" s="1184"/>
      <c r="C231" s="1184"/>
      <c r="D231" s="1184"/>
      <c r="E231" s="1184"/>
      <c r="F231" s="1184"/>
      <c r="G231" s="1184"/>
      <c r="H231" s="1184"/>
    </row>
    <row r="232" spans="1:8" x14ac:dyDescent="0.25">
      <c r="A232" s="1184"/>
      <c r="B232" s="1184"/>
      <c r="C232" s="1184"/>
      <c r="D232" s="1184"/>
      <c r="E232" s="1184"/>
      <c r="F232" s="1184"/>
      <c r="G232" s="1184"/>
      <c r="H232" s="1184"/>
    </row>
    <row r="233" spans="1:8" x14ac:dyDescent="0.25">
      <c r="A233" s="1184"/>
      <c r="B233" s="1184"/>
      <c r="C233" s="1184"/>
      <c r="D233" s="1184"/>
      <c r="E233" s="1184"/>
      <c r="F233" s="1184"/>
      <c r="G233" s="1184"/>
      <c r="H233" s="1184"/>
    </row>
    <row r="234" spans="1:8" x14ac:dyDescent="0.25">
      <c r="A234" s="1184"/>
      <c r="B234" s="1184"/>
      <c r="C234" s="1184"/>
      <c r="D234" s="1184"/>
      <c r="E234" s="1184"/>
      <c r="F234" s="1184"/>
      <c r="G234" s="1184"/>
      <c r="H234" s="1184"/>
    </row>
    <row r="235" spans="1:8" x14ac:dyDescent="0.25">
      <c r="A235" s="1184"/>
      <c r="B235" s="1184"/>
      <c r="C235" s="1184"/>
      <c r="D235" s="1184"/>
      <c r="E235" s="1184"/>
      <c r="F235" s="1184"/>
      <c r="G235" s="1184"/>
      <c r="H235" s="1184"/>
    </row>
    <row r="236" spans="1:8" x14ac:dyDescent="0.25">
      <c r="A236" s="1184"/>
      <c r="B236" s="1184"/>
      <c r="C236" s="1184"/>
      <c r="D236" s="1184"/>
      <c r="E236" s="1184"/>
      <c r="F236" s="1184"/>
      <c r="G236" s="1184"/>
      <c r="H236" s="1184"/>
    </row>
    <row r="237" spans="1:8" x14ac:dyDescent="0.25">
      <c r="A237" s="1184"/>
      <c r="B237" s="1184"/>
      <c r="C237" s="1184"/>
      <c r="D237" s="1184"/>
      <c r="E237" s="1184"/>
      <c r="F237" s="1184"/>
      <c r="G237" s="1184"/>
      <c r="H237" s="1184"/>
    </row>
    <row r="238" spans="1:8" x14ac:dyDescent="0.25">
      <c r="A238" s="1184"/>
      <c r="B238" s="1184"/>
      <c r="C238" s="1184"/>
      <c r="D238" s="1184"/>
      <c r="E238" s="1184"/>
      <c r="F238" s="1184"/>
      <c r="G238" s="1184"/>
      <c r="H238" s="1184"/>
    </row>
    <row r="239" spans="1:8" x14ac:dyDescent="0.25">
      <c r="A239" s="1184"/>
      <c r="B239" s="1184"/>
      <c r="C239" s="1184"/>
      <c r="D239" s="1184"/>
      <c r="E239" s="1184"/>
      <c r="F239" s="1184"/>
      <c r="G239" s="1184"/>
      <c r="H239" s="1184"/>
    </row>
    <row r="240" spans="1:8" x14ac:dyDescent="0.25">
      <c r="A240" s="1184"/>
      <c r="B240" s="1184"/>
      <c r="C240" s="1184"/>
      <c r="D240" s="1184"/>
      <c r="E240" s="1184"/>
      <c r="F240" s="1184"/>
      <c r="G240" s="1184"/>
      <c r="H240" s="1184"/>
    </row>
    <row r="241" spans="1:8" x14ac:dyDescent="0.25">
      <c r="A241" s="1184"/>
      <c r="B241" s="1184"/>
      <c r="C241" s="1184"/>
      <c r="D241" s="1184"/>
      <c r="E241" s="1184"/>
      <c r="F241" s="1184"/>
      <c r="G241" s="1184"/>
      <c r="H241" s="1184"/>
    </row>
    <row r="242" spans="1:8" x14ac:dyDescent="0.25">
      <c r="A242" s="1184"/>
      <c r="B242" s="1184"/>
      <c r="C242" s="1184"/>
      <c r="D242" s="1184"/>
      <c r="E242" s="1184"/>
      <c r="F242" s="1184"/>
      <c r="G242" s="1184"/>
      <c r="H242" s="1184"/>
    </row>
    <row r="243" spans="1:8" x14ac:dyDescent="0.25">
      <c r="A243" s="1184"/>
      <c r="B243" s="1184"/>
      <c r="C243" s="1184"/>
      <c r="D243" s="1184"/>
      <c r="E243" s="1184"/>
      <c r="F243" s="1184"/>
      <c r="G243" s="1184"/>
      <c r="H243" s="1184"/>
    </row>
    <row r="244" spans="1:8" x14ac:dyDescent="0.25">
      <c r="A244" s="1184"/>
      <c r="B244" s="1184"/>
      <c r="C244" s="1184"/>
      <c r="D244" s="1184"/>
      <c r="E244" s="1184"/>
      <c r="F244" s="1184"/>
      <c r="G244" s="1184"/>
      <c r="H244" s="1184"/>
    </row>
    <row r="245" spans="1:8" x14ac:dyDescent="0.25">
      <c r="A245" s="1184"/>
      <c r="B245" s="1184"/>
      <c r="C245" s="1184"/>
      <c r="D245" s="1184"/>
      <c r="E245" s="1184"/>
      <c r="F245" s="1184"/>
      <c r="G245" s="1184"/>
      <c r="H245" s="1184"/>
    </row>
    <row r="246" spans="1:8" x14ac:dyDescent="0.25">
      <c r="A246" s="1184"/>
      <c r="B246" s="1184"/>
      <c r="C246" s="1184"/>
      <c r="D246" s="1184"/>
      <c r="E246" s="1184"/>
      <c r="F246" s="1184"/>
      <c r="G246" s="1184"/>
      <c r="H246" s="1184"/>
    </row>
    <row r="247" spans="1:8" x14ac:dyDescent="0.25">
      <c r="A247" s="1184"/>
      <c r="B247" s="1184"/>
      <c r="C247" s="1184"/>
      <c r="D247" s="1184"/>
      <c r="E247" s="1184"/>
      <c r="F247" s="1184"/>
      <c r="G247" s="1184"/>
      <c r="H247" s="1184"/>
    </row>
    <row r="248" spans="1:8" x14ac:dyDescent="0.25">
      <c r="A248" s="1184"/>
      <c r="B248" s="1184"/>
      <c r="C248" s="1184"/>
      <c r="D248" s="1184"/>
      <c r="E248" s="1184"/>
      <c r="F248" s="1184"/>
      <c r="G248" s="1184"/>
      <c r="H248" s="1184"/>
    </row>
    <row r="249" spans="1:8" x14ac:dyDescent="0.25">
      <c r="A249" s="1184"/>
      <c r="B249" s="1184"/>
      <c r="C249" s="1184"/>
      <c r="D249" s="1184"/>
      <c r="E249" s="1184"/>
      <c r="F249" s="1184"/>
      <c r="G249" s="1184"/>
      <c r="H249" s="1184"/>
    </row>
    <row r="250" spans="1:8" x14ac:dyDescent="0.25">
      <c r="A250" s="1184"/>
      <c r="B250" s="1184"/>
      <c r="C250" s="1184"/>
      <c r="D250" s="1184"/>
      <c r="E250" s="1184"/>
      <c r="F250" s="1184"/>
      <c r="G250" s="1184"/>
      <c r="H250" s="1184"/>
    </row>
    <row r="251" spans="1:8" x14ac:dyDescent="0.25">
      <c r="A251" s="1184"/>
      <c r="B251" s="1184"/>
      <c r="C251" s="1184"/>
      <c r="D251" s="1184"/>
      <c r="E251" s="1184"/>
      <c r="F251" s="1184"/>
      <c r="G251" s="1184"/>
      <c r="H251" s="1184"/>
    </row>
    <row r="252" spans="1:8" x14ac:dyDescent="0.25">
      <c r="A252" s="1184"/>
      <c r="B252" s="1184"/>
      <c r="C252" s="1184"/>
      <c r="D252" s="1184"/>
      <c r="E252" s="1184"/>
      <c r="F252" s="1184"/>
      <c r="G252" s="1184"/>
      <c r="H252" s="1184"/>
    </row>
    <row r="253" spans="1:8" x14ac:dyDescent="0.25">
      <c r="A253" s="1184"/>
      <c r="B253" s="1184"/>
      <c r="C253" s="1184"/>
      <c r="D253" s="1184"/>
      <c r="E253" s="1184"/>
      <c r="F253" s="1184"/>
      <c r="G253" s="1184"/>
      <c r="H253" s="1184"/>
    </row>
    <row r="254" spans="1:8" x14ac:dyDescent="0.25">
      <c r="A254" s="1184"/>
      <c r="B254" s="1184"/>
      <c r="C254" s="1184"/>
      <c r="D254" s="1184"/>
      <c r="E254" s="1184"/>
      <c r="F254" s="1184"/>
      <c r="G254" s="1184"/>
      <c r="H254" s="1184"/>
    </row>
    <row r="255" spans="1:8" x14ac:dyDescent="0.25">
      <c r="A255" s="1184"/>
      <c r="B255" s="1184"/>
      <c r="C255" s="1184"/>
      <c r="D255" s="1184"/>
      <c r="E255" s="1184"/>
      <c r="F255" s="1184"/>
      <c r="G255" s="1184"/>
      <c r="H255" s="1184"/>
    </row>
    <row r="256" spans="1:8" x14ac:dyDescent="0.25">
      <c r="A256" s="1184"/>
      <c r="B256" s="1184"/>
      <c r="C256" s="1184"/>
      <c r="D256" s="1184"/>
      <c r="E256" s="1184"/>
      <c r="F256" s="1184"/>
      <c r="G256" s="1184"/>
      <c r="H256" s="1184"/>
    </row>
    <row r="257" spans="1:8" x14ac:dyDescent="0.25">
      <c r="A257" s="1184"/>
      <c r="B257" s="1184"/>
      <c r="C257" s="1184"/>
      <c r="D257" s="1184"/>
      <c r="E257" s="1184"/>
      <c r="F257" s="1184"/>
      <c r="G257" s="1184"/>
      <c r="H257" s="1184"/>
    </row>
    <row r="258" spans="1:8" x14ac:dyDescent="0.25">
      <c r="A258" s="1184"/>
      <c r="B258" s="1184"/>
      <c r="C258" s="1184"/>
      <c r="D258" s="1184"/>
      <c r="E258" s="1184"/>
      <c r="F258" s="1184"/>
      <c r="G258" s="1184"/>
      <c r="H258" s="1184"/>
    </row>
    <row r="259" spans="1:8" x14ac:dyDescent="0.25">
      <c r="A259" s="1184"/>
      <c r="B259" s="1184"/>
      <c r="C259" s="1184"/>
      <c r="D259" s="1184"/>
      <c r="E259" s="1184"/>
      <c r="F259" s="1184"/>
      <c r="G259" s="1184"/>
      <c r="H259" s="1184"/>
    </row>
    <row r="260" spans="1:8" x14ac:dyDescent="0.25">
      <c r="A260" s="1184"/>
      <c r="B260" s="1184"/>
      <c r="C260" s="1184"/>
      <c r="D260" s="1184"/>
      <c r="E260" s="1184"/>
      <c r="F260" s="1184"/>
      <c r="G260" s="1184"/>
      <c r="H260" s="1184"/>
    </row>
    <row r="261" spans="1:8" x14ac:dyDescent="0.25">
      <c r="A261" s="1184"/>
      <c r="B261" s="1184"/>
      <c r="C261" s="1184"/>
      <c r="D261" s="1184"/>
      <c r="E261" s="1184"/>
      <c r="F261" s="1184"/>
      <c r="G261" s="1184"/>
      <c r="H261" s="1184"/>
    </row>
    <row r="262" spans="1:8" x14ac:dyDescent="0.25">
      <c r="A262" s="1184"/>
      <c r="B262" s="1184"/>
      <c r="C262" s="1184"/>
      <c r="D262" s="1184"/>
      <c r="E262" s="1184"/>
      <c r="F262" s="1184"/>
      <c r="G262" s="1184"/>
      <c r="H262" s="1184"/>
    </row>
    <row r="263" spans="1:8" x14ac:dyDescent="0.25">
      <c r="A263" s="1184"/>
      <c r="B263" s="1184"/>
      <c r="C263" s="1184"/>
      <c r="D263" s="1184"/>
      <c r="E263" s="1184"/>
      <c r="F263" s="1184"/>
      <c r="G263" s="1184"/>
      <c r="H263" s="1184"/>
    </row>
    <row r="264" spans="1:8" x14ac:dyDescent="0.25">
      <c r="A264" s="1184"/>
      <c r="B264" s="1184"/>
      <c r="C264" s="1184"/>
      <c r="D264" s="1184"/>
      <c r="E264" s="1184"/>
      <c r="F264" s="1184"/>
      <c r="G264" s="1184"/>
      <c r="H264" s="1184"/>
    </row>
    <row r="265" spans="1:8" x14ac:dyDescent="0.25">
      <c r="A265" s="1184"/>
      <c r="B265" s="1184"/>
      <c r="C265" s="1184"/>
      <c r="D265" s="1184"/>
      <c r="E265" s="1184"/>
      <c r="F265" s="1184"/>
      <c r="G265" s="1184"/>
      <c r="H265" s="1184"/>
    </row>
    <row r="266" spans="1:8" x14ac:dyDescent="0.25">
      <c r="A266" s="1184"/>
      <c r="B266" s="1184"/>
      <c r="C266" s="1184"/>
      <c r="D266" s="1184"/>
      <c r="E266" s="1184"/>
      <c r="F266" s="1184"/>
      <c r="G266" s="1184"/>
      <c r="H266" s="1184"/>
    </row>
    <row r="267" spans="1:8" x14ac:dyDescent="0.25">
      <c r="A267" s="1184"/>
      <c r="B267" s="1184"/>
      <c r="C267" s="1184"/>
      <c r="D267" s="1184"/>
      <c r="E267" s="1184"/>
      <c r="F267" s="1184"/>
      <c r="G267" s="1184"/>
      <c r="H267" s="1184"/>
    </row>
    <row r="268" spans="1:8" x14ac:dyDescent="0.25">
      <c r="A268" s="1184"/>
      <c r="B268" s="1184"/>
      <c r="C268" s="1184"/>
      <c r="D268" s="1184"/>
      <c r="E268" s="1184"/>
      <c r="F268" s="1184"/>
      <c r="G268" s="1184"/>
      <c r="H268" s="1184"/>
    </row>
    <row r="269" spans="1:8" x14ac:dyDescent="0.25">
      <c r="A269" s="1184"/>
      <c r="B269" s="1184"/>
      <c r="C269" s="1184"/>
      <c r="D269" s="1184"/>
      <c r="E269" s="1184"/>
      <c r="F269" s="1184"/>
      <c r="G269" s="1184"/>
      <c r="H269" s="1184"/>
    </row>
    <row r="270" spans="1:8" x14ac:dyDescent="0.25">
      <c r="A270" s="1184"/>
      <c r="B270" s="1184"/>
      <c r="C270" s="1184"/>
      <c r="D270" s="1184"/>
      <c r="E270" s="1184"/>
      <c r="F270" s="1184"/>
      <c r="G270" s="1184"/>
      <c r="H270" s="1184"/>
    </row>
    <row r="271" spans="1:8" x14ac:dyDescent="0.25">
      <c r="A271" s="1184"/>
      <c r="B271" s="1184"/>
      <c r="C271" s="1184"/>
      <c r="D271" s="1184"/>
      <c r="E271" s="1184"/>
      <c r="F271" s="1184"/>
      <c r="G271" s="1184"/>
      <c r="H271" s="1184"/>
    </row>
    <row r="272" spans="1:8" x14ac:dyDescent="0.25">
      <c r="A272" s="1184"/>
      <c r="B272" s="1184"/>
      <c r="C272" s="1184"/>
      <c r="D272" s="1184"/>
      <c r="E272" s="1184"/>
      <c r="F272" s="1184"/>
      <c r="G272" s="1184"/>
      <c r="H272" s="1184"/>
    </row>
    <row r="273" spans="1:8" x14ac:dyDescent="0.25">
      <c r="A273" s="1184"/>
      <c r="B273" s="1184"/>
      <c r="C273" s="1184"/>
      <c r="D273" s="1184"/>
      <c r="E273" s="1184"/>
      <c r="F273" s="1184"/>
      <c r="G273" s="1184"/>
      <c r="H273" s="1184"/>
    </row>
    <row r="274" spans="1:8" x14ac:dyDescent="0.25">
      <c r="A274" s="1184"/>
      <c r="B274" s="1184"/>
      <c r="C274" s="1184"/>
      <c r="D274" s="1184"/>
      <c r="E274" s="1184"/>
      <c r="F274" s="1184"/>
      <c r="G274" s="1184"/>
      <c r="H274" s="1184"/>
    </row>
    <row r="275" spans="1:8" x14ac:dyDescent="0.25">
      <c r="A275" s="1184"/>
      <c r="B275" s="1184"/>
      <c r="C275" s="1184"/>
      <c r="D275" s="1184"/>
      <c r="E275" s="1184"/>
      <c r="F275" s="1184"/>
      <c r="G275" s="1184"/>
      <c r="H275" s="1184"/>
    </row>
    <row r="276" spans="1:8" x14ac:dyDescent="0.25">
      <c r="A276" s="1184"/>
      <c r="B276" s="1184"/>
      <c r="C276" s="1184"/>
      <c r="D276" s="1184"/>
      <c r="E276" s="1184"/>
      <c r="F276" s="1184"/>
      <c r="G276" s="1184"/>
      <c r="H276" s="1184"/>
    </row>
    <row r="277" spans="1:8" x14ac:dyDescent="0.25">
      <c r="A277" s="1184"/>
      <c r="B277" s="1184"/>
      <c r="C277" s="1184"/>
      <c r="D277" s="1184"/>
      <c r="E277" s="1184"/>
      <c r="F277" s="1184"/>
      <c r="G277" s="1184"/>
      <c r="H277" s="1184"/>
    </row>
    <row r="278" spans="1:8" x14ac:dyDescent="0.25">
      <c r="A278" s="1184"/>
      <c r="B278" s="1184"/>
      <c r="C278" s="1184"/>
      <c r="D278" s="1184"/>
      <c r="E278" s="1184"/>
      <c r="F278" s="1184"/>
      <c r="G278" s="1184"/>
      <c r="H278" s="1184"/>
    </row>
    <row r="279" spans="1:8" x14ac:dyDescent="0.25">
      <c r="A279" s="1184"/>
      <c r="B279" s="1184"/>
      <c r="C279" s="1184"/>
      <c r="D279" s="1184"/>
      <c r="E279" s="1184"/>
      <c r="F279" s="1184"/>
      <c r="G279" s="1184"/>
      <c r="H279" s="1184"/>
    </row>
    <row r="280" spans="1:8" x14ac:dyDescent="0.25">
      <c r="A280" s="1184"/>
      <c r="B280" s="1184"/>
      <c r="C280" s="1184"/>
      <c r="D280" s="1184"/>
      <c r="E280" s="1184"/>
      <c r="F280" s="1184"/>
      <c r="G280" s="1184"/>
      <c r="H280" s="1184"/>
    </row>
    <row r="281" spans="1:8" x14ac:dyDescent="0.25">
      <c r="A281" s="1184"/>
      <c r="B281" s="1184"/>
      <c r="C281" s="1184"/>
      <c r="D281" s="1184"/>
      <c r="E281" s="1184"/>
      <c r="F281" s="1184"/>
      <c r="G281" s="1184"/>
      <c r="H281" s="1184"/>
    </row>
    <row r="282" spans="1:8" x14ac:dyDescent="0.25">
      <c r="A282" s="1184"/>
      <c r="B282" s="1184"/>
      <c r="C282" s="1184"/>
      <c r="D282" s="1184"/>
      <c r="E282" s="1184"/>
      <c r="F282" s="1184"/>
      <c r="G282" s="1184"/>
      <c r="H282" s="1184"/>
    </row>
  </sheetData>
  <sheetProtection algorithmName="SHA-512" hashValue="t5A+wv/xdGvo1aQ9YLjybfutgqR9ggRrQNZY/SDAK395rtyIkjXxtgrs42spvXNvFlDQ7S5Smmk1tb+tbw+BgQ==" saltValue="HUQsHh5GrCpGWzgieyB7ZQ==" spinCount="100000" sheet="1" objects="1" scenarios="1" selectLockedCells="1"/>
  <mergeCells count="129">
    <mergeCell ref="AP7:AV7"/>
    <mergeCell ref="AX7:BD7"/>
    <mergeCell ref="BF7:BL7"/>
    <mergeCell ref="A1:I1"/>
    <mergeCell ref="D3:E3"/>
    <mergeCell ref="A5:I5"/>
    <mergeCell ref="A6:H6"/>
    <mergeCell ref="B7:I7"/>
    <mergeCell ref="J7:P7"/>
    <mergeCell ref="HZ7:IF7"/>
    <mergeCell ref="IH7:IN7"/>
    <mergeCell ref="IP7:IV7"/>
    <mergeCell ref="FF7:FL7"/>
    <mergeCell ref="FN7:FT7"/>
    <mergeCell ref="FV7:GB7"/>
    <mergeCell ref="GD7:GJ7"/>
    <mergeCell ref="GL7:GR7"/>
    <mergeCell ref="GT7:GZ7"/>
    <mergeCell ref="A8:H8"/>
    <mergeCell ref="A9:I9"/>
    <mergeCell ref="A10:H10"/>
    <mergeCell ref="B11:I11"/>
    <mergeCell ref="A12:H12"/>
    <mergeCell ref="A13:I13"/>
    <mergeCell ref="HB7:HH7"/>
    <mergeCell ref="HJ7:HP7"/>
    <mergeCell ref="HR7:HX7"/>
    <mergeCell ref="DJ7:DP7"/>
    <mergeCell ref="DR7:DX7"/>
    <mergeCell ref="DZ7:EF7"/>
    <mergeCell ref="EH7:EN7"/>
    <mergeCell ref="EP7:EV7"/>
    <mergeCell ref="EX7:FD7"/>
    <mergeCell ref="BN7:BT7"/>
    <mergeCell ref="BV7:CB7"/>
    <mergeCell ref="CD7:CJ7"/>
    <mergeCell ref="CL7:CR7"/>
    <mergeCell ref="CT7:CZ7"/>
    <mergeCell ref="DB7:DH7"/>
    <mergeCell ref="R7:X7"/>
    <mergeCell ref="Z7:AF7"/>
    <mergeCell ref="AH7:AN7"/>
    <mergeCell ref="A20:H20"/>
    <mergeCell ref="A21:I21"/>
    <mergeCell ref="A22:H22"/>
    <mergeCell ref="B23:I23"/>
    <mergeCell ref="A24:H24"/>
    <mergeCell ref="A25:I25"/>
    <mergeCell ref="A14:H14"/>
    <mergeCell ref="B15:I15"/>
    <mergeCell ref="A16:H16"/>
    <mergeCell ref="A17:I17"/>
    <mergeCell ref="A18:H18"/>
    <mergeCell ref="B19:I19"/>
    <mergeCell ref="A34:H34"/>
    <mergeCell ref="A36:G36"/>
    <mergeCell ref="A37:H37"/>
    <mergeCell ref="A43:G43"/>
    <mergeCell ref="H43:I43"/>
    <mergeCell ref="B47:I47"/>
    <mergeCell ref="A26:I26"/>
    <mergeCell ref="A29:H29"/>
    <mergeCell ref="B30:I30"/>
    <mergeCell ref="A31:H31"/>
    <mergeCell ref="A33:D33"/>
    <mergeCell ref="F33:G33"/>
    <mergeCell ref="A45:G45"/>
    <mergeCell ref="B62:G62"/>
    <mergeCell ref="B64:I64"/>
    <mergeCell ref="B65:I65"/>
    <mergeCell ref="B67:G67"/>
    <mergeCell ref="B69:G69"/>
    <mergeCell ref="B71:G71"/>
    <mergeCell ref="A48:H48"/>
    <mergeCell ref="F50:I50"/>
    <mergeCell ref="B55:I55"/>
    <mergeCell ref="B56:I56"/>
    <mergeCell ref="F58:I58"/>
    <mergeCell ref="B60:G60"/>
    <mergeCell ref="B82:G82"/>
    <mergeCell ref="B83:I83"/>
    <mergeCell ref="B85:G85"/>
    <mergeCell ref="B86:I86"/>
    <mergeCell ref="B87:I87"/>
    <mergeCell ref="B88:I88"/>
    <mergeCell ref="B73:G73"/>
    <mergeCell ref="E75:I75"/>
    <mergeCell ref="B77:I77"/>
    <mergeCell ref="A78:H78"/>
    <mergeCell ref="B79:G79"/>
    <mergeCell ref="B80:I80"/>
    <mergeCell ref="B97:I97"/>
    <mergeCell ref="B98:I98"/>
    <mergeCell ref="B99:I99"/>
    <mergeCell ref="B101:G101"/>
    <mergeCell ref="B102:I102"/>
    <mergeCell ref="B90:G90"/>
    <mergeCell ref="B91:I91"/>
    <mergeCell ref="B92:I92"/>
    <mergeCell ref="B93:I93"/>
    <mergeCell ref="B94:I94"/>
    <mergeCell ref="B96:G96"/>
    <mergeCell ref="B119:G119"/>
    <mergeCell ref="B120:I120"/>
    <mergeCell ref="B121:I121"/>
    <mergeCell ref="B122:I122"/>
    <mergeCell ref="B123:I123"/>
    <mergeCell ref="B133:I133"/>
    <mergeCell ref="B114:G114"/>
    <mergeCell ref="B115:I115"/>
    <mergeCell ref="B116:I116"/>
    <mergeCell ref="B117:I117"/>
    <mergeCell ref="B125:G125"/>
    <mergeCell ref="B126:I126"/>
    <mergeCell ref="B127:I127"/>
    <mergeCell ref="B128:I128"/>
    <mergeCell ref="B129:I129"/>
    <mergeCell ref="B153:I153"/>
    <mergeCell ref="A154:H154"/>
    <mergeCell ref="A155:I155"/>
    <mergeCell ref="A157:D157"/>
    <mergeCell ref="F157:I157"/>
    <mergeCell ref="A134:H134"/>
    <mergeCell ref="B143:I143"/>
    <mergeCell ref="A144:H144"/>
    <mergeCell ref="A145:F145"/>
    <mergeCell ref="C147:I147"/>
    <mergeCell ref="A151:I151"/>
    <mergeCell ref="C149:D149"/>
  </mergeCells>
  <pageMargins left="0.59055118110236227" right="0.39370078740157483" top="0.39370078740157483" bottom="0.19685039370078741" header="0.51181102362204722" footer="0.51181102362204722"/>
  <pageSetup paperSize="9" fitToHeight="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17</vt:i4>
      </vt:variant>
    </vt:vector>
  </HeadingPairs>
  <TitlesOfParts>
    <vt:vector size="43" baseType="lpstr">
      <vt:lpstr>Input</vt:lpstr>
      <vt:lpstr>Einkaufsberechnung</vt:lpstr>
      <vt:lpstr>Übersetzungen</vt:lpstr>
      <vt:lpstr>Ausweis-Certificat</vt:lpstr>
      <vt:lpstr>Zusatzblatt-Feuille supplément.</vt:lpstr>
      <vt:lpstr>Plan-Piano</vt:lpstr>
      <vt:lpstr>Angemessenh.-Adéquation</vt:lpstr>
      <vt:lpstr>Vertrag SE</vt:lpstr>
      <vt:lpstr>Contrat indép.</vt:lpstr>
      <vt:lpstr>Contratto Indipend.</vt:lpstr>
      <vt:lpstr>Vertrag Arbeitgeber</vt:lpstr>
      <vt:lpstr>Contrat employeur</vt:lpstr>
      <vt:lpstr>Contratto datore di lavoro</vt:lpstr>
      <vt:lpstr>Mutationsmeldung SE</vt:lpstr>
      <vt:lpstr>Avis de mutation pour indép.</vt:lpstr>
      <vt:lpstr>Archiv</vt:lpstr>
      <vt:lpstr>Wertebereich</vt:lpstr>
      <vt:lpstr>Renten</vt:lpstr>
      <vt:lpstr>Beitrag</vt:lpstr>
      <vt:lpstr>Leistungen</vt:lpstr>
      <vt:lpstr>Versionen</vt:lpstr>
      <vt:lpstr>Ablauf</vt:lpstr>
      <vt:lpstr>Decodierung</vt:lpstr>
      <vt:lpstr>Plan-Nr.</vt:lpstr>
      <vt:lpstr>Formeln</vt:lpstr>
      <vt:lpstr>Module</vt:lpstr>
      <vt:lpstr>'Angemessenh.-Adéquation'!Druckbereich</vt:lpstr>
      <vt:lpstr>'Ausweis-Certificat'!Druckbereich</vt:lpstr>
      <vt:lpstr>'Avis de mutation pour indép.'!Druckbereich</vt:lpstr>
      <vt:lpstr>'Contrat employeur'!Druckbereich</vt:lpstr>
      <vt:lpstr>'Contrat indép.'!Druckbereich</vt:lpstr>
      <vt:lpstr>'Contratto datore di lavoro'!Druckbereich</vt:lpstr>
      <vt:lpstr>'Contratto Indipend.'!Druckbereich</vt:lpstr>
      <vt:lpstr>Decodierung!Druckbereich</vt:lpstr>
      <vt:lpstr>Einkaufsberechnung!Druckbereich</vt:lpstr>
      <vt:lpstr>Input!Druckbereich</vt:lpstr>
      <vt:lpstr>'Mutationsmeldung SE'!Druckbereich</vt:lpstr>
      <vt:lpstr>'Plan-Piano'!Druckbereich</vt:lpstr>
      <vt:lpstr>'Vertrag Arbeitgeber'!Druckbereich</vt:lpstr>
      <vt:lpstr>'Vertrag SE'!Druckbereich</vt:lpstr>
      <vt:lpstr>'Zusatzblatt-Feuille supplément.'!Druckbereich</vt:lpstr>
      <vt:lpstr>Input!Drucktitel</vt:lpstr>
      <vt:lpstr>Einkaufsberechnung!Print_Area</vt:lpstr>
    </vt:vector>
  </TitlesOfParts>
  <Company>medisuisse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Ausgleichskasse medisuisse</dc:creator>
  <cp:lastModifiedBy>Andreas Frei</cp:lastModifiedBy>
  <cp:lastPrinted>2022-04-27T14:25:40Z</cp:lastPrinted>
  <dcterms:created xsi:type="dcterms:W3CDTF">2011-04-18T09:31:55Z</dcterms:created>
  <dcterms:modified xsi:type="dcterms:W3CDTF">2023-05-17T14:07:15Z</dcterms:modified>
</cp:coreProperties>
</file>