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ustomProperty2.bin" ContentType="application/vnd.openxmlformats-officedocument.spreadsheetml.customProperty"/>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ustomProperty3.bin" ContentType="application/vnd.openxmlformats-officedocument.spreadsheetml.customProperty"/>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ustomProperty6.bin" ContentType="application/vnd.openxmlformats-officedocument.spreadsheetml.customProperty"/>
  <Override PartName="/xl/comments1.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B:\Berechnungstools\Beitragsberechnung\2026\"/>
    </mc:Choice>
  </mc:AlternateContent>
  <xr:revisionPtr revIDLastSave="0" documentId="13_ncr:1_{3E69F778-2985-40B4-8F30-D6EB25EC5A48}" xr6:coauthVersionLast="47" xr6:coauthVersionMax="47" xr10:uidLastSave="{00000000-0000-0000-0000-000000000000}"/>
  <bookViews>
    <workbookView xWindow="-30828" yWindow="-108" windowWidth="30936" windowHeight="17496" xr2:uid="{00000000-000D-0000-FFFF-FFFF00000000}"/>
  </bookViews>
  <sheets>
    <sheet name="Beiträge" sheetId="21" r:id="rId1"/>
    <sheet name="Hilfe-Aide" sheetId="24" r:id="rId2"/>
    <sheet name="Übersetzungen" sheetId="23" state="hidden" r:id="rId3"/>
    <sheet name="Input" sheetId="1" state="hidden" r:id="rId4"/>
    <sheet name="Versicherungsausweis" sheetId="12" state="hidden" r:id="rId5"/>
    <sheet name="Planbeschrieb" sheetId="15" state="hidden" r:id="rId6"/>
    <sheet name="Code" sheetId="22" state="hidden" r:id="rId7"/>
    <sheet name="Wertebereich" sheetId="14" state="hidden" r:id="rId8"/>
    <sheet name="Tabellen B" sheetId="2" state="hidden" r:id="rId9"/>
    <sheet name="Tabellen L" sheetId="7" state="hidden" r:id="rId10"/>
  </sheets>
  <definedNames>
    <definedName name="_xlnm.Print_Area" localSheetId="0">Beiträge!$B$1:$G$50</definedName>
    <definedName name="_xlnm.Print_Area" localSheetId="6">Code!$A$1:$T$27</definedName>
    <definedName name="_xlnm.Print_Area" localSheetId="3">Input!$A$1:$H$90</definedName>
    <definedName name="_xlnm.Print_Area" localSheetId="5">Planbeschrieb!$A$1:$N$61</definedName>
    <definedName name="_xlnm.Print_Area" localSheetId="4">Versicherungsausweis!$A$1:$J$42</definedName>
    <definedName name="_xlnm.Print_Titles" localSheetId="3">Input!$1:$1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2" i="12" l="1"/>
  <c r="H15" i="14"/>
  <c r="H14" i="14"/>
  <c r="H13" i="14"/>
  <c r="F19" i="14"/>
  <c r="F15" i="14"/>
  <c r="F14" i="14"/>
  <c r="F13" i="14"/>
  <c r="H18" i="14"/>
  <c r="H17" i="14"/>
  <c r="H16" i="14"/>
  <c r="AS21" i="2" l="1"/>
  <c r="AT21" i="2"/>
  <c r="AS22" i="2"/>
  <c r="AT22" i="2"/>
  <c r="AS23" i="2"/>
  <c r="AT23" i="2"/>
  <c r="AS24" i="2"/>
  <c r="AT24" i="2"/>
  <c r="AS25" i="2"/>
  <c r="AT25" i="2"/>
  <c r="AT20" i="2"/>
  <c r="AS20" i="2"/>
  <c r="AT18" i="2"/>
  <c r="AT19" i="2" s="1"/>
  <c r="AS18" i="2"/>
  <c r="AS19" i="2" s="1"/>
  <c r="AJ18" i="2"/>
  <c r="AK18" i="2"/>
  <c r="AL18" i="2"/>
  <c r="AL19" i="2" s="1"/>
  <c r="AM18" i="2"/>
  <c r="AM19" i="2" s="1"/>
  <c r="AN18" i="2"/>
  <c r="AN19" i="2" s="1"/>
  <c r="AO18" i="2"/>
  <c r="AP18" i="2"/>
  <c r="AP19" i="2" s="1"/>
  <c r="AQ18" i="2"/>
  <c r="AQ19" i="2" s="1"/>
  <c r="AJ19" i="2"/>
  <c r="AK19" i="2"/>
  <c r="AO19" i="2"/>
  <c r="AJ20" i="2"/>
  <c r="AK20" i="2"/>
  <c r="AL20" i="2"/>
  <c r="AM20" i="2"/>
  <c r="AN20" i="2"/>
  <c r="AO20" i="2"/>
  <c r="AP20" i="2"/>
  <c r="AQ20" i="2"/>
  <c r="AJ21" i="2"/>
  <c r="AK21" i="2"/>
  <c r="AL21" i="2"/>
  <c r="AM21" i="2"/>
  <c r="AN21" i="2"/>
  <c r="AO21" i="2"/>
  <c r="AP21" i="2"/>
  <c r="AQ21" i="2"/>
  <c r="AJ22" i="2"/>
  <c r="AK22" i="2"/>
  <c r="AL22" i="2"/>
  <c r="AM22" i="2"/>
  <c r="AN22" i="2"/>
  <c r="AO22" i="2"/>
  <c r="AP22" i="2"/>
  <c r="AQ22" i="2"/>
  <c r="AJ23" i="2"/>
  <c r="AK23" i="2"/>
  <c r="AL23" i="2"/>
  <c r="AM23" i="2"/>
  <c r="AN23" i="2"/>
  <c r="AO23" i="2"/>
  <c r="AP23" i="2"/>
  <c r="AQ23" i="2"/>
  <c r="AJ24" i="2"/>
  <c r="AK24" i="2"/>
  <c r="AL24" i="2"/>
  <c r="AM24" i="2"/>
  <c r="AN24" i="2"/>
  <c r="AO24" i="2"/>
  <c r="AP24" i="2"/>
  <c r="AQ24" i="2"/>
  <c r="AJ25" i="2"/>
  <c r="AK25" i="2"/>
  <c r="AL25" i="2"/>
  <c r="AM25" i="2"/>
  <c r="AN25" i="2"/>
  <c r="AO25" i="2"/>
  <c r="AP25" i="2"/>
  <c r="AQ25" i="2"/>
  <c r="AI21" i="2"/>
  <c r="AI22" i="2"/>
  <c r="AI23" i="2"/>
  <c r="AI24" i="2"/>
  <c r="AI25" i="2"/>
  <c r="AI20" i="2"/>
  <c r="AI18" i="2"/>
  <c r="AI19" i="2" s="1"/>
  <c r="J40" i="21" l="1"/>
  <c r="J39" i="21"/>
  <c r="J38" i="21"/>
  <c r="J37" i="21"/>
  <c r="J36" i="21"/>
  <c r="X13" i="2" l="1"/>
  <c r="X8" i="2"/>
  <c r="A7" i="12"/>
  <c r="A13" i="24" l="1"/>
  <c r="F21" i="24"/>
  <c r="B23" i="24"/>
  <c r="B17" i="24"/>
  <c r="A29" i="24"/>
  <c r="C21" i="24"/>
  <c r="A21" i="24"/>
  <c r="A17" i="24"/>
  <c r="C14" i="24"/>
  <c r="C13" i="24"/>
  <c r="A8" i="24" l="1"/>
  <c r="A7" i="24"/>
  <c r="B48" i="21" l="1"/>
  <c r="B47" i="21"/>
  <c r="B40" i="21"/>
  <c r="B38" i="21"/>
  <c r="B44" i="21" s="1"/>
  <c r="F34" i="21"/>
  <c r="F40" i="21" s="1"/>
  <c r="B37" i="21"/>
  <c r="B43" i="21" s="1"/>
  <c r="B36" i="21"/>
  <c r="B42" i="21" s="1"/>
  <c r="B35" i="21"/>
  <c r="B41" i="21" s="1"/>
  <c r="E34" i="21"/>
  <c r="E40" i="21" s="1"/>
  <c r="D34" i="21"/>
  <c r="D40" i="21" s="1"/>
  <c r="B34" i="21"/>
  <c r="B32" i="21"/>
  <c r="B28" i="21"/>
  <c r="A28" i="24" s="1"/>
  <c r="B20" i="21"/>
  <c r="A20" i="24" s="1"/>
  <c r="B25" i="21"/>
  <c r="A25" i="24" s="1"/>
  <c r="G20" i="21"/>
  <c r="F20" i="24" s="1"/>
  <c r="B16" i="21"/>
  <c r="A16" i="24" s="1"/>
  <c r="D20" i="21"/>
  <c r="C20" i="24" s="1"/>
  <c r="C20" i="21"/>
  <c r="B20" i="24" s="1"/>
  <c r="C16" i="21"/>
  <c r="B16" i="24" s="1"/>
  <c r="D12" i="21"/>
  <c r="C12" i="24" s="1"/>
  <c r="B12" i="21"/>
  <c r="A12" i="24" s="1"/>
  <c r="B5" i="21"/>
  <c r="A5" i="24" s="1"/>
  <c r="B9" i="21"/>
  <c r="A9" i="24" s="1"/>
  <c r="B6" i="21"/>
  <c r="A6" i="24" s="1"/>
  <c r="B4" i="21"/>
  <c r="A4" i="24" s="1"/>
  <c r="B2" i="21"/>
  <c r="A2" i="24" s="1"/>
  <c r="E22" i="1" l="1"/>
  <c r="E18" i="1" l="1"/>
  <c r="B4" i="2" s="1"/>
  <c r="Q12" i="2" s="1"/>
  <c r="K3" i="1"/>
  <c r="J36" i="1"/>
  <c r="B49" i="15" s="1"/>
  <c r="R10" i="1"/>
  <c r="B60" i="14"/>
  <c r="V10" i="14" s="1"/>
  <c r="M28" i="12"/>
  <c r="J25" i="21"/>
  <c r="J26" i="21" s="1"/>
  <c r="I26" i="21"/>
  <c r="K28" i="21"/>
  <c r="E14" i="1" s="1"/>
  <c r="J28" i="21"/>
  <c r="E11" i="1"/>
  <c r="C71" i="7" s="1"/>
  <c r="J4" i="22"/>
  <c r="V4" i="22" s="1"/>
  <c r="A7" i="22" s="1"/>
  <c r="P45" i="15"/>
  <c r="A50" i="15" s="1"/>
  <c r="J26" i="22"/>
  <c r="V67" i="22" s="1"/>
  <c r="V68" i="22" s="1"/>
  <c r="E46" i="1"/>
  <c r="J51" i="1" s="1"/>
  <c r="C29" i="21"/>
  <c r="B29" i="24" s="1"/>
  <c r="B50" i="21"/>
  <c r="V3" i="22"/>
  <c r="J19" i="22" s="1"/>
  <c r="V55" i="22"/>
  <c r="V56" i="22"/>
  <c r="V30" i="22"/>
  <c r="E20" i="22" s="1"/>
  <c r="J20" i="22" s="1"/>
  <c r="V39" i="22"/>
  <c r="F21" i="22" s="1"/>
  <c r="J21" i="22" s="1"/>
  <c r="V42" i="22"/>
  <c r="G22" i="22" s="1"/>
  <c r="J22" i="22" s="1"/>
  <c r="V47" i="22"/>
  <c r="H23" i="22" s="1"/>
  <c r="J23" i="22" s="1"/>
  <c r="N61" i="15"/>
  <c r="K6" i="1"/>
  <c r="A60" i="7" s="1"/>
  <c r="J58" i="1"/>
  <c r="D10" i="12"/>
  <c r="G5" i="15" s="1"/>
  <c r="K4" i="15"/>
  <c r="F61" i="1"/>
  <c r="G61" i="1"/>
  <c r="H61" i="1"/>
  <c r="G44" i="1"/>
  <c r="A61" i="15"/>
  <c r="J92" i="1"/>
  <c r="A60" i="15"/>
  <c r="J13" i="12"/>
  <c r="N3" i="15" s="1"/>
  <c r="I2" i="15"/>
  <c r="G148" i="7"/>
  <c r="G62" i="1"/>
  <c r="G165" i="7"/>
  <c r="F159" i="7"/>
  <c r="F153" i="7"/>
  <c r="F154" i="7"/>
  <c r="J7" i="12"/>
  <c r="B14" i="12"/>
  <c r="C24" i="12"/>
  <c r="C25" i="12"/>
  <c r="C26" i="12"/>
  <c r="C23" i="12"/>
  <c r="D21" i="12"/>
  <c r="E55" i="1"/>
  <c r="E62" i="1"/>
  <c r="E61" i="1"/>
  <c r="G55" i="1"/>
  <c r="G169" i="7"/>
  <c r="G141" i="7"/>
  <c r="G150" i="7"/>
  <c r="B88" i="1"/>
  <c r="F51" i="1"/>
  <c r="F23" i="12"/>
  <c r="F24" i="12"/>
  <c r="A2" i="15"/>
  <c r="F25" i="12"/>
  <c r="F26" i="12"/>
  <c r="I21" i="12"/>
  <c r="G21" i="12"/>
  <c r="G60" i="1"/>
  <c r="H60" i="1" s="1"/>
  <c r="F170" i="7"/>
  <c r="F169" i="7"/>
  <c r="G173" i="7"/>
  <c r="G149" i="7"/>
  <c r="G158" i="7"/>
  <c r="G168" i="7"/>
  <c r="G152" i="7"/>
  <c r="G142" i="7"/>
  <c r="G143" i="7"/>
  <c r="G145" i="7"/>
  <c r="G146" i="7"/>
  <c r="G147" i="7"/>
  <c r="G151" i="7"/>
  <c r="G153" i="7"/>
  <c r="G154" i="7"/>
  <c r="G155" i="7"/>
  <c r="G156" i="7"/>
  <c r="G157" i="7"/>
  <c r="G159" i="7"/>
  <c r="G160" i="7"/>
  <c r="G161" i="7"/>
  <c r="G162" i="7"/>
  <c r="G163" i="7"/>
  <c r="G164" i="7"/>
  <c r="G166" i="7"/>
  <c r="G167" i="7"/>
  <c r="G170" i="7"/>
  <c r="G171" i="7"/>
  <c r="G172"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144" i="7"/>
  <c r="F145" i="7"/>
  <c r="F146" i="7"/>
  <c r="F147" i="7"/>
  <c r="F148" i="7"/>
  <c r="F149" i="7"/>
  <c r="F150" i="7"/>
  <c r="F151" i="7"/>
  <c r="F152" i="7"/>
  <c r="F155" i="7"/>
  <c r="F156" i="7"/>
  <c r="F157" i="7"/>
  <c r="F158" i="7"/>
  <c r="F160" i="7"/>
  <c r="F161" i="7"/>
  <c r="F162" i="7"/>
  <c r="F163" i="7"/>
  <c r="F164" i="7"/>
  <c r="F165" i="7"/>
  <c r="F166" i="7"/>
  <c r="F167" i="7"/>
  <c r="F168"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144" i="7"/>
  <c r="M64" i="7"/>
  <c r="P65" i="7"/>
  <c r="S66" i="7"/>
  <c r="V67" i="7"/>
  <c r="Y68" i="7"/>
  <c r="AB69" i="7"/>
  <c r="AB70" i="7"/>
  <c r="AB71" i="7"/>
  <c r="AB72" i="7"/>
  <c r="AB73" i="7"/>
  <c r="AB74" i="7"/>
  <c r="AB75" i="7"/>
  <c r="AB76" i="7"/>
  <c r="AB89" i="7"/>
  <c r="AB88" i="7"/>
  <c r="AB87" i="7"/>
  <c r="AB86" i="7"/>
  <c r="AB85" i="7"/>
  <c r="AB84" i="7"/>
  <c r="AB83" i="7"/>
  <c r="AB82" i="7"/>
  <c r="AB81" i="7"/>
  <c r="AB80" i="7"/>
  <c r="AB79" i="7"/>
  <c r="AB78" i="7"/>
  <c r="AB77" i="7"/>
  <c r="AB68" i="7"/>
  <c r="AB67" i="7"/>
  <c r="AB66" i="7"/>
  <c r="AB65" i="7"/>
  <c r="AB64" i="7"/>
  <c r="AA89" i="7"/>
  <c r="AA88" i="7"/>
  <c r="AA87" i="7"/>
  <c r="AA86" i="7"/>
  <c r="AA85" i="7"/>
  <c r="AA84" i="7"/>
  <c r="AA83" i="7"/>
  <c r="AA82" i="7"/>
  <c r="AA81" i="7"/>
  <c r="AA80" i="7"/>
  <c r="AA79" i="7"/>
  <c r="AA78" i="7"/>
  <c r="AA77" i="7"/>
  <c r="AA76" i="7"/>
  <c r="AA75" i="7"/>
  <c r="AA74" i="7"/>
  <c r="AA73" i="7"/>
  <c r="AA72" i="7"/>
  <c r="AA71" i="7"/>
  <c r="AA70" i="7"/>
  <c r="AA69" i="7"/>
  <c r="AA68" i="7"/>
  <c r="AA67" i="7"/>
  <c r="AA66" i="7"/>
  <c r="AA65" i="7"/>
  <c r="AA64" i="7"/>
  <c r="Y89" i="7"/>
  <c r="Y88" i="7"/>
  <c r="Y87" i="7"/>
  <c r="Y86" i="7"/>
  <c r="Y85" i="7"/>
  <c r="Y84" i="7"/>
  <c r="Y83" i="7"/>
  <c r="Y82" i="7"/>
  <c r="Y81" i="7"/>
  <c r="Y80" i="7"/>
  <c r="Y79" i="7"/>
  <c r="Y78" i="7"/>
  <c r="Y77" i="7"/>
  <c r="Y76" i="7"/>
  <c r="Y75" i="7"/>
  <c r="Y74" i="7"/>
  <c r="Y73" i="7"/>
  <c r="Y72" i="7"/>
  <c r="Y71" i="7"/>
  <c r="Y70" i="7"/>
  <c r="Y69" i="7"/>
  <c r="Y67" i="7"/>
  <c r="Y66" i="7"/>
  <c r="Y65" i="7"/>
  <c r="Y64" i="7"/>
  <c r="X89" i="7"/>
  <c r="X88" i="7"/>
  <c r="X87" i="7"/>
  <c r="X86" i="7"/>
  <c r="X85" i="7"/>
  <c r="X84" i="7"/>
  <c r="X83" i="7"/>
  <c r="X82" i="7"/>
  <c r="X81" i="7"/>
  <c r="X80" i="7"/>
  <c r="X79" i="7"/>
  <c r="X78" i="7"/>
  <c r="X77" i="7"/>
  <c r="X76" i="7"/>
  <c r="X75" i="7"/>
  <c r="X74" i="7"/>
  <c r="X73" i="7"/>
  <c r="X72" i="7"/>
  <c r="X71" i="7"/>
  <c r="X70" i="7"/>
  <c r="X69" i="7"/>
  <c r="X68" i="7"/>
  <c r="X67" i="7"/>
  <c r="X66" i="7"/>
  <c r="X65" i="7"/>
  <c r="X64" i="7"/>
  <c r="V89" i="7"/>
  <c r="V88" i="7"/>
  <c r="V87" i="7"/>
  <c r="V86" i="7"/>
  <c r="V85" i="7"/>
  <c r="V84" i="7"/>
  <c r="V83" i="7"/>
  <c r="V82" i="7"/>
  <c r="V81" i="7"/>
  <c r="V80" i="7"/>
  <c r="V79" i="7"/>
  <c r="V78" i="7"/>
  <c r="V77" i="7"/>
  <c r="V76" i="7"/>
  <c r="V75" i="7"/>
  <c r="V74" i="7"/>
  <c r="V73" i="7"/>
  <c r="V72" i="7"/>
  <c r="V71" i="7"/>
  <c r="V70" i="7"/>
  <c r="V69" i="7"/>
  <c r="V68" i="7"/>
  <c r="V66" i="7"/>
  <c r="V65" i="7"/>
  <c r="V64" i="7"/>
  <c r="U89" i="7"/>
  <c r="U88" i="7"/>
  <c r="U87" i="7"/>
  <c r="U86" i="7"/>
  <c r="U85" i="7"/>
  <c r="U84" i="7"/>
  <c r="U83" i="7"/>
  <c r="U82" i="7"/>
  <c r="U81" i="7"/>
  <c r="U80" i="7"/>
  <c r="U79" i="7"/>
  <c r="U78" i="7"/>
  <c r="U77" i="7"/>
  <c r="U76" i="7"/>
  <c r="U75" i="7"/>
  <c r="U74" i="7"/>
  <c r="U73" i="7"/>
  <c r="U72" i="7"/>
  <c r="U71" i="7"/>
  <c r="U70" i="7"/>
  <c r="U69" i="7"/>
  <c r="U68" i="7"/>
  <c r="U67" i="7"/>
  <c r="U66" i="7"/>
  <c r="U65" i="7"/>
  <c r="U64" i="7"/>
  <c r="S89" i="7"/>
  <c r="S88" i="7"/>
  <c r="S87" i="7"/>
  <c r="S86" i="7"/>
  <c r="S85" i="7"/>
  <c r="S84" i="7"/>
  <c r="S83" i="7"/>
  <c r="S82" i="7"/>
  <c r="S81" i="7"/>
  <c r="S80" i="7"/>
  <c r="S79" i="7"/>
  <c r="S78" i="7"/>
  <c r="S77" i="7"/>
  <c r="S76" i="7"/>
  <c r="S75" i="7"/>
  <c r="S74" i="7"/>
  <c r="S73" i="7"/>
  <c r="S72" i="7"/>
  <c r="S71" i="7"/>
  <c r="S70" i="7"/>
  <c r="S69" i="7"/>
  <c r="S68" i="7"/>
  <c r="S67" i="7"/>
  <c r="S65" i="7"/>
  <c r="S64" i="7"/>
  <c r="R89" i="7"/>
  <c r="R88" i="7"/>
  <c r="R87" i="7"/>
  <c r="R86" i="7"/>
  <c r="R85" i="7"/>
  <c r="R84" i="7"/>
  <c r="R83" i="7"/>
  <c r="R82" i="7"/>
  <c r="R81" i="7"/>
  <c r="R80" i="7"/>
  <c r="R79" i="7"/>
  <c r="R78" i="7"/>
  <c r="R77" i="7"/>
  <c r="R76" i="7"/>
  <c r="R75" i="7"/>
  <c r="R74" i="7"/>
  <c r="R73" i="7"/>
  <c r="R72" i="7"/>
  <c r="R71" i="7"/>
  <c r="R70" i="7"/>
  <c r="R69" i="7"/>
  <c r="R68" i="7"/>
  <c r="R67" i="7"/>
  <c r="R66" i="7"/>
  <c r="R65" i="7"/>
  <c r="R64" i="7"/>
  <c r="P89" i="7"/>
  <c r="P88" i="7"/>
  <c r="P87" i="7"/>
  <c r="P86" i="7"/>
  <c r="P85" i="7"/>
  <c r="P84" i="7"/>
  <c r="P83" i="7"/>
  <c r="P82" i="7"/>
  <c r="P81" i="7"/>
  <c r="P80" i="7"/>
  <c r="P79" i="7"/>
  <c r="P78" i="7"/>
  <c r="P77" i="7"/>
  <c r="P76" i="7"/>
  <c r="P75" i="7"/>
  <c r="P74" i="7"/>
  <c r="P73" i="7"/>
  <c r="P72" i="7"/>
  <c r="P71" i="7"/>
  <c r="P70" i="7"/>
  <c r="P69" i="7"/>
  <c r="P68" i="7"/>
  <c r="P67" i="7"/>
  <c r="P66" i="7"/>
  <c r="P64" i="7"/>
  <c r="M89" i="7"/>
  <c r="M88" i="7"/>
  <c r="M87" i="7"/>
  <c r="M86" i="7"/>
  <c r="M85" i="7"/>
  <c r="M84" i="7"/>
  <c r="M83" i="7"/>
  <c r="M82" i="7"/>
  <c r="M81" i="7"/>
  <c r="M80" i="7"/>
  <c r="M79" i="7"/>
  <c r="M78" i="7"/>
  <c r="M77" i="7"/>
  <c r="M76" i="7"/>
  <c r="M75" i="7"/>
  <c r="M74" i="7"/>
  <c r="M73" i="7"/>
  <c r="M72" i="7"/>
  <c r="M71" i="7"/>
  <c r="M70" i="7"/>
  <c r="M69" i="7"/>
  <c r="M68" i="7"/>
  <c r="M67" i="7"/>
  <c r="M66" i="7"/>
  <c r="M65" i="7"/>
  <c r="J89" i="7"/>
  <c r="J88" i="7"/>
  <c r="J87" i="7"/>
  <c r="J86" i="7"/>
  <c r="J85" i="7"/>
  <c r="J84" i="7"/>
  <c r="J83" i="7"/>
  <c r="J82" i="7"/>
  <c r="J81" i="7"/>
  <c r="J80" i="7"/>
  <c r="J79" i="7"/>
  <c r="J78" i="7"/>
  <c r="J77" i="7"/>
  <c r="J65" i="7"/>
  <c r="J66" i="7"/>
  <c r="J67" i="7"/>
  <c r="J68" i="7"/>
  <c r="J69" i="7"/>
  <c r="J70" i="7"/>
  <c r="J71" i="7"/>
  <c r="J72" i="7"/>
  <c r="J73" i="7"/>
  <c r="J74" i="7"/>
  <c r="J75" i="7"/>
  <c r="J76" i="7"/>
  <c r="J64" i="7"/>
  <c r="Z89" i="7"/>
  <c r="Z88" i="7"/>
  <c r="Z87" i="7"/>
  <c r="Z86" i="7"/>
  <c r="Z85" i="7"/>
  <c r="Z84" i="7"/>
  <c r="Z83" i="7"/>
  <c r="Z82" i="7"/>
  <c r="Z81" i="7"/>
  <c r="Z80" i="7"/>
  <c r="Z79" i="7"/>
  <c r="Z78" i="7"/>
  <c r="Z77" i="7"/>
  <c r="Z65" i="7"/>
  <c r="Z66" i="7"/>
  <c r="Z67" i="7"/>
  <c r="Z68" i="7"/>
  <c r="Z69" i="7"/>
  <c r="Z70" i="7"/>
  <c r="Z71" i="7"/>
  <c r="Z72" i="7"/>
  <c r="Z73" i="7"/>
  <c r="Z74" i="7"/>
  <c r="Z75" i="7"/>
  <c r="Z76" i="7"/>
  <c r="Z64" i="7"/>
  <c r="W89" i="7"/>
  <c r="W88" i="7"/>
  <c r="W87" i="7"/>
  <c r="W86" i="7"/>
  <c r="W85" i="7"/>
  <c r="W84" i="7"/>
  <c r="W83" i="7"/>
  <c r="W82" i="7"/>
  <c r="W81" i="7"/>
  <c r="W80" i="7"/>
  <c r="W79" i="7"/>
  <c r="W78" i="7"/>
  <c r="W77" i="7"/>
  <c r="W65" i="7"/>
  <c r="W66" i="7"/>
  <c r="W67" i="7"/>
  <c r="W68" i="7"/>
  <c r="W69" i="7"/>
  <c r="W70" i="7"/>
  <c r="W71" i="7"/>
  <c r="W72" i="7"/>
  <c r="W73" i="7"/>
  <c r="W74" i="7"/>
  <c r="W75" i="7"/>
  <c r="W76" i="7"/>
  <c r="W64" i="7"/>
  <c r="T89" i="7"/>
  <c r="T88" i="7"/>
  <c r="T87" i="7"/>
  <c r="T86" i="7"/>
  <c r="T85" i="7"/>
  <c r="T84" i="7"/>
  <c r="T83" i="7"/>
  <c r="T82" i="7"/>
  <c r="T81" i="7"/>
  <c r="T80" i="7"/>
  <c r="T79" i="7"/>
  <c r="T78" i="7"/>
  <c r="T77" i="7"/>
  <c r="T65" i="7"/>
  <c r="T66" i="7"/>
  <c r="T67" i="7"/>
  <c r="T68" i="7"/>
  <c r="T69" i="7"/>
  <c r="T70" i="7"/>
  <c r="T71" i="7"/>
  <c r="T72" i="7"/>
  <c r="T73" i="7"/>
  <c r="T74" i="7"/>
  <c r="T75" i="7"/>
  <c r="T76" i="7"/>
  <c r="T64" i="7"/>
  <c r="Q89" i="7"/>
  <c r="Q88" i="7"/>
  <c r="Q87" i="7"/>
  <c r="Q86" i="7"/>
  <c r="Q85" i="7"/>
  <c r="Q84" i="7"/>
  <c r="Q83" i="7"/>
  <c r="Q82" i="7"/>
  <c r="Q81" i="7"/>
  <c r="Q80" i="7"/>
  <c r="Q79" i="7"/>
  <c r="Q78" i="7"/>
  <c r="Q77" i="7"/>
  <c r="Q65" i="7"/>
  <c r="Q66" i="7"/>
  <c r="Q67" i="7"/>
  <c r="Q68" i="7"/>
  <c r="Q69" i="7"/>
  <c r="Q70" i="7"/>
  <c r="Q71" i="7"/>
  <c r="Q72" i="7"/>
  <c r="Q73" i="7"/>
  <c r="Q74" i="7"/>
  <c r="Q75" i="7"/>
  <c r="Q76" i="7"/>
  <c r="Q64" i="7"/>
  <c r="J3" i="1"/>
  <c r="G56" i="1"/>
  <c r="H56" i="1" s="1"/>
  <c r="G57" i="1"/>
  <c r="H57" i="1" s="1"/>
  <c r="G58" i="1"/>
  <c r="H58" i="1" s="1"/>
  <c r="G59" i="1"/>
  <c r="H59" i="1" s="1"/>
  <c r="G63" i="1"/>
  <c r="H63" i="1" s="1"/>
  <c r="G64" i="1"/>
  <c r="H64" i="1" s="1"/>
  <c r="G65" i="1"/>
  <c r="H65" i="1" s="1"/>
  <c r="G66" i="1"/>
  <c r="H66" i="1" s="1"/>
  <c r="G67" i="1"/>
  <c r="H67" i="1" s="1"/>
  <c r="F54" i="1"/>
  <c r="F56" i="1"/>
  <c r="F57" i="1"/>
  <c r="F58" i="1"/>
  <c r="F59" i="1"/>
  <c r="F60" i="1"/>
  <c r="F62" i="1"/>
  <c r="F63" i="1"/>
  <c r="F64" i="1"/>
  <c r="F65" i="1"/>
  <c r="F66" i="1"/>
  <c r="F67" i="1"/>
  <c r="F55" i="1"/>
  <c r="E56" i="1"/>
  <c r="E57" i="1"/>
  <c r="E58" i="1"/>
  <c r="E59" i="1"/>
  <c r="E60" i="1"/>
  <c r="E63" i="1"/>
  <c r="E64" i="1"/>
  <c r="E65" i="1"/>
  <c r="E66" i="1"/>
  <c r="E67" i="1"/>
  <c r="H10" i="12"/>
  <c r="K5" i="15" s="1"/>
  <c r="H55" i="1"/>
  <c r="A18" i="15"/>
  <c r="P14" i="2"/>
  <c r="Q49" i="15" l="1"/>
  <c r="K1" i="1"/>
  <c r="M21" i="1" s="1"/>
  <c r="F91" i="14"/>
  <c r="O79" i="1"/>
  <c r="C67" i="7"/>
  <c r="O71" i="1"/>
  <c r="C89" i="7"/>
  <c r="O69" i="1"/>
  <c r="C74" i="7"/>
  <c r="O75" i="1"/>
  <c r="A58" i="7"/>
  <c r="C58" i="7" s="1"/>
  <c r="N86" i="7" s="1"/>
  <c r="O78" i="1"/>
  <c r="C82" i="7"/>
  <c r="O70" i="1"/>
  <c r="V27" i="22"/>
  <c r="G13" i="22" s="1"/>
  <c r="J13" i="22" s="1"/>
  <c r="V28" i="22"/>
  <c r="H14" i="22" s="1"/>
  <c r="J14" i="22" s="1"/>
  <c r="I17" i="21" s="1"/>
  <c r="V13" i="22"/>
  <c r="D10" i="22" s="1"/>
  <c r="K61" i="1" s="1"/>
  <c r="B65" i="14" s="1"/>
  <c r="V5" i="14" s="1"/>
  <c r="A16" i="15"/>
  <c r="B5" i="2"/>
  <c r="A59" i="7"/>
  <c r="R17" i="22"/>
  <c r="H62" i="1"/>
  <c r="J17" i="12"/>
  <c r="V10" i="22"/>
  <c r="C9" i="22" s="1"/>
  <c r="F20" i="21" s="1"/>
  <c r="E20" i="24" s="1"/>
  <c r="V24" i="22"/>
  <c r="F12" i="22" s="1"/>
  <c r="V15" i="22"/>
  <c r="E11" i="22" s="1"/>
  <c r="M7" i="22" s="1"/>
  <c r="J75" i="1"/>
  <c r="J53" i="1"/>
  <c r="B51" i="1"/>
  <c r="J16" i="12"/>
  <c r="F14" i="1"/>
  <c r="B50" i="1"/>
  <c r="J13" i="1"/>
  <c r="J56" i="1" s="1"/>
  <c r="C78" i="7"/>
  <c r="C66" i="7"/>
  <c r="O76" i="1"/>
  <c r="J50" i="1"/>
  <c r="F46" i="1" s="1"/>
  <c r="C79" i="7"/>
  <c r="O74" i="1"/>
  <c r="C80" i="7"/>
  <c r="C81" i="7"/>
  <c r="C88" i="7"/>
  <c r="C68" i="7"/>
  <c r="O77" i="1"/>
  <c r="C87" i="7"/>
  <c r="C84" i="7"/>
  <c r="J9" i="1"/>
  <c r="C72" i="7"/>
  <c r="J10" i="1"/>
  <c r="P69" i="1" s="1"/>
  <c r="L15" i="12"/>
  <c r="C65" i="7"/>
  <c r="O68" i="1"/>
  <c r="C75" i="7"/>
  <c r="C83" i="7"/>
  <c r="O67" i="1"/>
  <c r="C64" i="7"/>
  <c r="C73" i="7"/>
  <c r="O73" i="1"/>
  <c r="C76" i="7"/>
  <c r="C69" i="7"/>
  <c r="C77" i="7"/>
  <c r="C85" i="7"/>
  <c r="C86" i="7"/>
  <c r="O72" i="1"/>
  <c r="C70" i="7"/>
  <c r="M48" i="15"/>
  <c r="K48" i="15" s="1"/>
  <c r="P28" i="12"/>
  <c r="Q28" i="12" s="1"/>
  <c r="J25" i="12" s="1"/>
  <c r="N28" i="12"/>
  <c r="O28" i="12" s="1"/>
  <c r="G25" i="12" s="1"/>
  <c r="D37" i="21" s="1"/>
  <c r="K53" i="1"/>
  <c r="J7" i="22"/>
  <c r="I11" i="21" s="1"/>
  <c r="B28" i="2"/>
  <c r="B50" i="15"/>
  <c r="V2" i="22"/>
  <c r="J6" i="22" s="1"/>
  <c r="V7" i="22"/>
  <c r="B8" i="22" s="1"/>
  <c r="V49" i="22"/>
  <c r="V50" i="22" s="1"/>
  <c r="O9" i="22" s="1"/>
  <c r="R9" i="22" s="1"/>
  <c r="M5" i="1"/>
  <c r="H16" i="1"/>
  <c r="J67" i="1"/>
  <c r="E204" i="7" s="1"/>
  <c r="L8" i="12"/>
  <c r="L9" i="12" s="1"/>
  <c r="B29" i="22"/>
  <c r="K14" i="1" s="1"/>
  <c r="J29" i="22"/>
  <c r="I20" i="21" s="1"/>
  <c r="V72" i="22"/>
  <c r="V73" i="22" s="1"/>
  <c r="V61" i="22"/>
  <c r="V62" i="22" s="1"/>
  <c r="K2" i="1"/>
  <c r="J27" i="21"/>
  <c r="D17" i="21" s="1"/>
  <c r="C17" i="24" s="1"/>
  <c r="K69" i="7" l="1"/>
  <c r="Q50" i="15"/>
  <c r="AB25" i="2"/>
  <c r="X25" i="2"/>
  <c r="T25" i="2"/>
  <c r="P25" i="2"/>
  <c r="Y24" i="2"/>
  <c r="U24" i="2"/>
  <c r="Q24" i="2"/>
  <c r="Z23" i="2"/>
  <c r="V23" i="2"/>
  <c r="R23" i="2"/>
  <c r="AA22" i="2"/>
  <c r="W22" i="2"/>
  <c r="S22" i="2"/>
  <c r="AB21" i="2"/>
  <c r="X21" i="2"/>
  <c r="T21" i="2"/>
  <c r="P21" i="2"/>
  <c r="Y20" i="2"/>
  <c r="U20" i="2"/>
  <c r="Q20" i="2"/>
  <c r="Z19" i="2"/>
  <c r="V19" i="2"/>
  <c r="R19" i="2"/>
  <c r="O24" i="2"/>
  <c r="O20" i="2"/>
  <c r="W25" i="2"/>
  <c r="U23" i="2"/>
  <c r="Z22" i="2"/>
  <c r="R22" i="2"/>
  <c r="W21" i="2"/>
  <c r="AB20" i="2"/>
  <c r="T20" i="2"/>
  <c r="P20" i="2"/>
  <c r="U19" i="2"/>
  <c r="O23" i="2"/>
  <c r="V25" i="2"/>
  <c r="AB23" i="2"/>
  <c r="Y22" i="2"/>
  <c r="Z21" i="2"/>
  <c r="AA20" i="2"/>
  <c r="AB19" i="2"/>
  <c r="T19" i="2"/>
  <c r="O22" i="2"/>
  <c r="T23" i="2"/>
  <c r="Y25" i="2"/>
  <c r="U25" i="2"/>
  <c r="Q25" i="2"/>
  <c r="Z24" i="2"/>
  <c r="V24" i="2"/>
  <c r="R24" i="2"/>
  <c r="AA23" i="2"/>
  <c r="W23" i="2"/>
  <c r="S23" i="2"/>
  <c r="AB22" i="2"/>
  <c r="X22" i="2"/>
  <c r="T22" i="2"/>
  <c r="P22" i="2"/>
  <c r="Y21" i="2"/>
  <c r="U21" i="2"/>
  <c r="Q21" i="2"/>
  <c r="Z20" i="2"/>
  <c r="V20" i="2"/>
  <c r="R20" i="2"/>
  <c r="AA19" i="2"/>
  <c r="W19" i="2"/>
  <c r="S19" i="2"/>
  <c r="O25" i="2"/>
  <c r="O21" i="2"/>
  <c r="AA25" i="2"/>
  <c r="S25" i="2"/>
  <c r="AB24" i="2"/>
  <c r="X24" i="2"/>
  <c r="T24" i="2"/>
  <c r="P24" i="2"/>
  <c r="Y23" i="2"/>
  <c r="Q23" i="2"/>
  <c r="V22" i="2"/>
  <c r="AA21" i="2"/>
  <c r="S21" i="2"/>
  <c r="X20" i="2"/>
  <c r="Y19" i="2"/>
  <c r="Q19" i="2"/>
  <c r="Z25" i="2"/>
  <c r="R25" i="2"/>
  <c r="AA24" i="2"/>
  <c r="W24" i="2"/>
  <c r="S24" i="2"/>
  <c r="X23" i="2"/>
  <c r="P23" i="2"/>
  <c r="U22" i="2"/>
  <c r="Q22" i="2"/>
  <c r="V21" i="2"/>
  <c r="R21" i="2"/>
  <c r="W20" i="2"/>
  <c r="S20" i="2"/>
  <c r="X19" i="2"/>
  <c r="P19" i="2"/>
  <c r="M14" i="1"/>
  <c r="M17" i="1"/>
  <c r="M16" i="1"/>
  <c r="Q17" i="1"/>
  <c r="M20" i="1"/>
  <c r="V4" i="2"/>
  <c r="M18" i="1"/>
  <c r="J12" i="22"/>
  <c r="R8" i="22" s="1"/>
  <c r="K36" i="1"/>
  <c r="B23" i="14" s="1"/>
  <c r="O73" i="7"/>
  <c r="I72" i="7"/>
  <c r="I73" i="7"/>
  <c r="L65" i="7"/>
  <c r="G66" i="7"/>
  <c r="F79" i="7"/>
  <c r="G73" i="7"/>
  <c r="G64" i="7"/>
  <c r="G65" i="7"/>
  <c r="F76" i="7"/>
  <c r="N82" i="7"/>
  <c r="H73" i="7"/>
  <c r="O81" i="7"/>
  <c r="K66" i="7"/>
  <c r="K75" i="7"/>
  <c r="H75" i="7"/>
  <c r="K70" i="7"/>
  <c r="O68" i="7"/>
  <c r="K67" i="7"/>
  <c r="K71" i="7"/>
  <c r="K81" i="7"/>
  <c r="I80" i="7"/>
  <c r="I84" i="7"/>
  <c r="E87" i="7"/>
  <c r="H82" i="7"/>
  <c r="E89" i="7"/>
  <c r="N87" i="7"/>
  <c r="L87" i="7"/>
  <c r="G80" i="7"/>
  <c r="G75" i="7"/>
  <c r="I76" i="7"/>
  <c r="L84" i="7"/>
  <c r="H65" i="7"/>
  <c r="O67" i="7"/>
  <c r="H80" i="7"/>
  <c r="F81" i="7"/>
  <c r="L64" i="7"/>
  <c r="L73" i="7"/>
  <c r="E71" i="7"/>
  <c r="E88" i="7"/>
  <c r="G68" i="7"/>
  <c r="I77" i="7"/>
  <c r="O75" i="7"/>
  <c r="G85" i="7"/>
  <c r="K72" i="7"/>
  <c r="O74" i="7"/>
  <c r="L70" i="7"/>
  <c r="F78" i="7"/>
  <c r="F87" i="7"/>
  <c r="K85" i="7"/>
  <c r="I81" i="7"/>
  <c r="E83" i="7"/>
  <c r="H83" i="7"/>
  <c r="N80" i="7"/>
  <c r="K83" i="7"/>
  <c r="L85" i="7"/>
  <c r="N70" i="7"/>
  <c r="E77" i="7"/>
  <c r="I82" i="7"/>
  <c r="O77" i="7"/>
  <c r="F85" i="7"/>
  <c r="E78" i="7"/>
  <c r="H85" i="7"/>
  <c r="H79" i="7"/>
  <c r="N84" i="7"/>
  <c r="H84" i="7"/>
  <c r="K86" i="7"/>
  <c r="N78" i="7"/>
  <c r="N75" i="7"/>
  <c r="H77" i="7"/>
  <c r="E81" i="7"/>
  <c r="H67" i="7"/>
  <c r="E65" i="7"/>
  <c r="E79" i="7"/>
  <c r="H86" i="7"/>
  <c r="E70" i="7"/>
  <c r="H81" i="7"/>
  <c r="G87" i="7"/>
  <c r="E85" i="7"/>
  <c r="I74" i="7"/>
  <c r="F69" i="7"/>
  <c r="F75" i="7"/>
  <c r="F84" i="7"/>
  <c r="L88" i="7"/>
  <c r="F64" i="7"/>
  <c r="K88" i="7"/>
  <c r="K73" i="7"/>
  <c r="N77" i="7"/>
  <c r="L81" i="7"/>
  <c r="I87" i="7"/>
  <c r="O65" i="7"/>
  <c r="O85" i="7"/>
  <c r="E69" i="7"/>
  <c r="G71" i="7"/>
  <c r="H87" i="7"/>
  <c r="G77" i="7"/>
  <c r="F71" i="7"/>
  <c r="O82" i="7"/>
  <c r="E82" i="7"/>
  <c r="O84" i="7"/>
  <c r="L89" i="7"/>
  <c r="F88" i="7"/>
  <c r="O88" i="7"/>
  <c r="N65" i="7"/>
  <c r="K79" i="7"/>
  <c r="N68" i="7"/>
  <c r="L69" i="7"/>
  <c r="G79" i="7"/>
  <c r="N74" i="7"/>
  <c r="G69" i="7"/>
  <c r="O66" i="7"/>
  <c r="H66" i="7"/>
  <c r="G72" i="7"/>
  <c r="I66" i="7"/>
  <c r="H71" i="7"/>
  <c r="O83" i="7"/>
  <c r="N85" i="7"/>
  <c r="G78" i="7"/>
  <c r="K77" i="7"/>
  <c r="O71" i="7"/>
  <c r="K82" i="7"/>
  <c r="E84" i="7"/>
  <c r="F68" i="7"/>
  <c r="H64" i="7"/>
  <c r="L68" i="7"/>
  <c r="E75" i="7"/>
  <c r="E73" i="7"/>
  <c r="G89" i="7"/>
  <c r="H68" i="7"/>
  <c r="N81" i="7"/>
  <c r="F72" i="7"/>
  <c r="G86" i="7"/>
  <c r="G70" i="7"/>
  <c r="I85" i="7"/>
  <c r="N79" i="7"/>
  <c r="G76" i="7"/>
  <c r="G82" i="7"/>
  <c r="L74" i="7"/>
  <c r="G74" i="7"/>
  <c r="K68" i="7"/>
  <c r="I88" i="7"/>
  <c r="N66" i="7"/>
  <c r="F89" i="7"/>
  <c r="K65" i="7"/>
  <c r="O86" i="7"/>
  <c r="N71" i="7"/>
  <c r="G81" i="7"/>
  <c r="K64" i="7"/>
  <c r="L75" i="7"/>
  <c r="I67" i="7"/>
  <c r="F80" i="7"/>
  <c r="K89" i="7"/>
  <c r="H89" i="7"/>
  <c r="F74" i="7"/>
  <c r="N76" i="7"/>
  <c r="F66" i="7"/>
  <c r="K80" i="7"/>
  <c r="H88" i="7"/>
  <c r="O79" i="7"/>
  <c r="L86" i="7"/>
  <c r="I70" i="7"/>
  <c r="K84" i="7"/>
  <c r="N67" i="7"/>
  <c r="O78" i="7"/>
  <c r="E72" i="7"/>
  <c r="F65" i="7"/>
  <c r="O72" i="7"/>
  <c r="H78" i="7"/>
  <c r="G67" i="7"/>
  <c r="I64" i="7"/>
  <c r="N73" i="7"/>
  <c r="H74" i="7"/>
  <c r="N88" i="7"/>
  <c r="H69" i="7"/>
  <c r="E76" i="7"/>
  <c r="O87" i="7"/>
  <c r="K78" i="7"/>
  <c r="I68" i="7"/>
  <c r="I89" i="7"/>
  <c r="L80" i="7"/>
  <c r="O76" i="7"/>
  <c r="L76" i="7"/>
  <c r="K87" i="7"/>
  <c r="L66" i="7"/>
  <c r="L79" i="7"/>
  <c r="G84" i="7"/>
  <c r="L82" i="7"/>
  <c r="L72" i="7"/>
  <c r="H76" i="7"/>
  <c r="I65" i="7"/>
  <c r="O80" i="7"/>
  <c r="I83" i="7"/>
  <c r="F73" i="7"/>
  <c r="F67" i="7"/>
  <c r="I71" i="7"/>
  <c r="H70" i="7"/>
  <c r="O70" i="7"/>
  <c r="F70" i="7"/>
  <c r="K76" i="7"/>
  <c r="L67" i="7"/>
  <c r="E67" i="7"/>
  <c r="N89" i="7"/>
  <c r="F86" i="7"/>
  <c r="I75" i="7"/>
  <c r="F77" i="7"/>
  <c r="E66" i="7"/>
  <c r="E68" i="7"/>
  <c r="L77" i="7"/>
  <c r="G83" i="7"/>
  <c r="E86" i="7"/>
  <c r="F82" i="7"/>
  <c r="O89" i="7"/>
  <c r="E74" i="7"/>
  <c r="L83" i="7"/>
  <c r="E64" i="7"/>
  <c r="H72" i="7"/>
  <c r="I69" i="7"/>
  <c r="F83" i="7"/>
  <c r="L78" i="7"/>
  <c r="I86" i="7"/>
  <c r="O69" i="7"/>
  <c r="I78" i="7"/>
  <c r="O64" i="7"/>
  <c r="K74" i="7"/>
  <c r="N64" i="7"/>
  <c r="N83" i="7"/>
  <c r="G88" i="7"/>
  <c r="E80" i="7"/>
  <c r="L71" i="7"/>
  <c r="N72" i="7"/>
  <c r="I79" i="7"/>
  <c r="B57" i="1"/>
  <c r="N69" i="7"/>
  <c r="J10" i="22"/>
  <c r="I14" i="21" s="1"/>
  <c r="E37" i="21"/>
  <c r="E43" i="21" s="1"/>
  <c r="Q16" i="1"/>
  <c r="Q18" i="1"/>
  <c r="Q21" i="1"/>
  <c r="J8" i="22"/>
  <c r="I12" i="21" s="1"/>
  <c r="E20" i="21"/>
  <c r="D20" i="24" s="1"/>
  <c r="K55" i="1"/>
  <c r="E76" i="1" s="1"/>
  <c r="N8" i="22"/>
  <c r="R4" i="22" s="1"/>
  <c r="P67" i="1"/>
  <c r="B55" i="1" s="1"/>
  <c r="J11" i="22"/>
  <c r="R7" i="22" s="1"/>
  <c r="F69" i="1"/>
  <c r="P74" i="1"/>
  <c r="B62" i="1" s="1"/>
  <c r="P71" i="1"/>
  <c r="B59" i="1" s="1"/>
  <c r="P73" i="1"/>
  <c r="B61" i="1" s="1"/>
  <c r="P78" i="1"/>
  <c r="B66" i="1" s="1"/>
  <c r="E162" i="7"/>
  <c r="P72" i="1"/>
  <c r="B60" i="1" s="1"/>
  <c r="P70" i="1"/>
  <c r="B58" i="1" s="1"/>
  <c r="E195" i="7"/>
  <c r="P76" i="1"/>
  <c r="B64" i="1" s="1"/>
  <c r="P18" i="2"/>
  <c r="J9" i="22"/>
  <c r="I13" i="21" s="1"/>
  <c r="E147" i="7"/>
  <c r="E157" i="7"/>
  <c r="E190" i="7"/>
  <c r="AA18" i="2"/>
  <c r="Y18" i="2"/>
  <c r="E167" i="7"/>
  <c r="E144" i="7"/>
  <c r="G140" i="7"/>
  <c r="E208" i="7"/>
  <c r="E227" i="7"/>
  <c r="U18" i="2"/>
  <c r="AB18" i="2"/>
  <c r="Z18" i="2"/>
  <c r="E149" i="7"/>
  <c r="E152" i="7"/>
  <c r="E164" i="7"/>
  <c r="E156" i="7"/>
  <c r="E225" i="7"/>
  <c r="T18" i="2"/>
  <c r="X18" i="2"/>
  <c r="S18" i="2"/>
  <c r="O18" i="2"/>
  <c r="R18" i="2"/>
  <c r="F70" i="1"/>
  <c r="J15" i="12"/>
  <c r="L5" i="12" s="1"/>
  <c r="L6" i="12" s="1"/>
  <c r="L10" i="12" s="1"/>
  <c r="A8" i="12" s="1"/>
  <c r="E209" i="7"/>
  <c r="E198" i="7"/>
  <c r="E179" i="7"/>
  <c r="E194" i="7"/>
  <c r="E205" i="7"/>
  <c r="B43" i="14"/>
  <c r="V2" i="14" s="1"/>
  <c r="V18" i="2"/>
  <c r="Q18" i="2"/>
  <c r="O19" i="2"/>
  <c r="W18" i="2"/>
  <c r="E216" i="7"/>
  <c r="E229" i="7"/>
  <c r="E161" i="7"/>
  <c r="E171" i="7"/>
  <c r="E151" i="7"/>
  <c r="E142" i="7"/>
  <c r="E163" i="7"/>
  <c r="E226" i="7"/>
  <c r="E188" i="7"/>
  <c r="E191" i="7"/>
  <c r="E202" i="7"/>
  <c r="E169" i="7"/>
  <c r="E158" i="7"/>
  <c r="E155" i="7"/>
  <c r="E170" i="7"/>
  <c r="E168" i="7"/>
  <c r="E219" i="7"/>
  <c r="E203" i="7"/>
  <c r="E184" i="7"/>
  <c r="E178" i="7"/>
  <c r="E154" i="7"/>
  <c r="K39" i="1"/>
  <c r="J7" i="1" s="1"/>
  <c r="P79" i="1"/>
  <c r="B67" i="1" s="1"/>
  <c r="P68" i="1"/>
  <c r="B56" i="1" s="1"/>
  <c r="P75" i="1"/>
  <c r="B63" i="1" s="1"/>
  <c r="P77" i="1"/>
  <c r="B65" i="1" s="1"/>
  <c r="E175" i="7"/>
  <c r="E218" i="7"/>
  <c r="E228" i="7"/>
  <c r="E222" i="7"/>
  <c r="E193" i="7"/>
  <c r="E187" i="7"/>
  <c r="E148" i="7"/>
  <c r="E220" i="7"/>
  <c r="E181" i="7"/>
  <c r="E141" i="7"/>
  <c r="E217" i="7"/>
  <c r="E172" i="7"/>
  <c r="F142" i="7"/>
  <c r="E150" i="7"/>
  <c r="E176" i="7"/>
  <c r="E165" i="7"/>
  <c r="E185" i="7"/>
  <c r="E223" i="7"/>
  <c r="E143" i="7"/>
  <c r="E201" i="7"/>
  <c r="E207" i="7"/>
  <c r="Q14" i="1"/>
  <c r="Q20" i="1"/>
  <c r="E153" i="7"/>
  <c r="E200" i="7"/>
  <c r="E197" i="7"/>
  <c r="E213" i="7"/>
  <c r="E182" i="7"/>
  <c r="E210" i="7"/>
  <c r="E189" i="7"/>
  <c r="E177" i="7"/>
  <c r="E145" i="7"/>
  <c r="E224" i="7"/>
  <c r="E146" i="7"/>
  <c r="E211" i="7"/>
  <c r="E206" i="7"/>
  <c r="E192" i="7"/>
  <c r="E160" i="7"/>
  <c r="E183" i="7"/>
  <c r="E212" i="7"/>
  <c r="E173" i="7"/>
  <c r="E199" i="7"/>
  <c r="E159" i="7"/>
  <c r="D25" i="12"/>
  <c r="D43" i="21"/>
  <c r="N18" i="2"/>
  <c r="E19" i="2"/>
  <c r="L19" i="2"/>
  <c r="C19" i="2"/>
  <c r="G19" i="2"/>
  <c r="N19" i="2"/>
  <c r="I19" i="2"/>
  <c r="H19" i="2"/>
  <c r="K19" i="2"/>
  <c r="I18" i="2"/>
  <c r="K18" i="2"/>
  <c r="F19" i="2"/>
  <c r="J18" i="2"/>
  <c r="D19" i="2"/>
  <c r="J19" i="2"/>
  <c r="M18" i="2"/>
  <c r="M19" i="2"/>
  <c r="F18" i="2"/>
  <c r="C18" i="2"/>
  <c r="L18" i="2"/>
  <c r="E18" i="2"/>
  <c r="G18" i="2"/>
  <c r="H18" i="2"/>
  <c r="D18" i="2"/>
  <c r="E215" i="7"/>
  <c r="F141" i="7"/>
  <c r="E221" i="7"/>
  <c r="E166" i="7"/>
  <c r="F143" i="7"/>
  <c r="E174" i="7"/>
  <c r="E214" i="7"/>
  <c r="E180" i="7"/>
  <c r="E140" i="7"/>
  <c r="E196" i="7"/>
  <c r="F140" i="7"/>
  <c r="E186" i="7"/>
  <c r="J28" i="22"/>
  <c r="I19" i="21" s="1"/>
  <c r="A28" i="22"/>
  <c r="B23" i="21" s="1"/>
  <c r="A23" i="24" s="1"/>
  <c r="J30" i="22"/>
  <c r="I21" i="21" s="1"/>
  <c r="C30" i="22"/>
  <c r="K17" i="1" s="1"/>
  <c r="B34" i="14" s="1"/>
  <c r="C34" i="14" s="1"/>
  <c r="K24" i="1"/>
  <c r="E80" i="1" s="1"/>
  <c r="L2" i="1"/>
  <c r="C31" i="14"/>
  <c r="F11" i="1"/>
  <c r="J18" i="1" l="1"/>
  <c r="Q11" i="2"/>
  <c r="Q6" i="2"/>
  <c r="Q14" i="2" s="1"/>
  <c r="Q2" i="2"/>
  <c r="Q5" i="2"/>
  <c r="Q8" i="2"/>
  <c r="Q3" i="2"/>
  <c r="Q9" i="2"/>
  <c r="Q4" i="2"/>
  <c r="Q7" i="2"/>
  <c r="I16" i="21"/>
  <c r="E81" i="1"/>
  <c r="U8" i="14"/>
  <c r="U30" i="14" s="1"/>
  <c r="F37" i="21"/>
  <c r="F43" i="21" s="1"/>
  <c r="B47" i="14"/>
  <c r="I15" i="21"/>
  <c r="V21" i="14"/>
  <c r="J8" i="1"/>
  <c r="J5" i="1" s="1"/>
  <c r="J74" i="1"/>
  <c r="K41" i="1"/>
  <c r="U29" i="14" s="1"/>
  <c r="B28" i="14"/>
  <c r="B69" i="14"/>
  <c r="C69" i="14" s="1"/>
  <c r="J32" i="1"/>
  <c r="V20" i="14"/>
  <c r="I10" i="12" s="1"/>
  <c r="L5" i="15" s="1"/>
  <c r="K9" i="1"/>
  <c r="N20" i="15"/>
  <c r="V8" i="14"/>
  <c r="W3" i="14" s="1"/>
  <c r="A22" i="15"/>
  <c r="C23" i="14"/>
  <c r="B9" i="14"/>
  <c r="E74" i="1"/>
  <c r="G11" i="1"/>
  <c r="E40" i="1"/>
  <c r="E41" i="1"/>
  <c r="E72" i="1"/>
  <c r="E42" i="1"/>
  <c r="A6" i="15"/>
  <c r="E73" i="1"/>
  <c r="F82" i="1"/>
  <c r="E69" i="1"/>
  <c r="E39" i="1"/>
  <c r="J14" i="12"/>
  <c r="AC9" i="14"/>
  <c r="E38" i="1"/>
  <c r="E37" i="1"/>
  <c r="I20" i="14" l="1"/>
  <c r="G16" i="14"/>
  <c r="I19" i="14"/>
  <c r="C56" i="15" s="1"/>
  <c r="I15" i="14"/>
  <c r="G19" i="14"/>
  <c r="G15" i="14"/>
  <c r="I13" i="14"/>
  <c r="I16" i="14"/>
  <c r="I18" i="14"/>
  <c r="I14" i="14"/>
  <c r="G18" i="14"/>
  <c r="G14" i="14"/>
  <c r="I17" i="14"/>
  <c r="G17" i="14"/>
  <c r="G13" i="14"/>
  <c r="C49" i="15" s="1"/>
  <c r="G20" i="14"/>
  <c r="D56" i="15"/>
  <c r="S56" i="15" s="1"/>
  <c r="D57" i="15"/>
  <c r="S57" i="15" s="1"/>
  <c r="D55" i="15"/>
  <c r="S55" i="15" s="1"/>
  <c r="D54" i="15"/>
  <c r="S54" i="15" s="1"/>
  <c r="D53" i="15"/>
  <c r="S53" i="15" s="1"/>
  <c r="V4" i="14"/>
  <c r="Q10" i="2"/>
  <c r="K6" i="2" s="1"/>
  <c r="Q13" i="2"/>
  <c r="O8" i="2" s="1"/>
  <c r="I6" i="2"/>
  <c r="P4" i="2"/>
  <c r="O4" i="2"/>
  <c r="N4" i="2"/>
  <c r="O6" i="2"/>
  <c r="P9" i="2"/>
  <c r="P6" i="2"/>
  <c r="O9" i="2"/>
  <c r="R3" i="2"/>
  <c r="I9" i="2"/>
  <c r="H9" i="2"/>
  <c r="P5" i="2"/>
  <c r="I5" i="2"/>
  <c r="P10" i="2"/>
  <c r="O10" i="2"/>
  <c r="I10" i="2"/>
  <c r="H10" i="2"/>
  <c r="O5" i="2"/>
  <c r="R5" i="2"/>
  <c r="I33" i="15"/>
  <c r="G33" i="15"/>
  <c r="A35" i="15" s="1"/>
  <c r="I35" i="15" s="1"/>
  <c r="A33" i="15"/>
  <c r="N33" i="15"/>
  <c r="I29" i="15"/>
  <c r="K52" i="1"/>
  <c r="U7" i="14"/>
  <c r="G30" i="15"/>
  <c r="U3" i="14"/>
  <c r="V25" i="14" s="1"/>
  <c r="U25" i="14" s="1"/>
  <c r="G28" i="15"/>
  <c r="N24" i="15"/>
  <c r="D51" i="15"/>
  <c r="S51" i="15" s="1"/>
  <c r="V3" i="14"/>
  <c r="U2" i="14"/>
  <c r="U6" i="14" s="1"/>
  <c r="V28" i="14" s="1"/>
  <c r="U28" i="14" s="1"/>
  <c r="I30" i="15"/>
  <c r="I31" i="15"/>
  <c r="W4" i="14"/>
  <c r="A41" i="15"/>
  <c r="A40" i="15"/>
  <c r="D50" i="15"/>
  <c r="S50" i="15" s="1"/>
  <c r="C9" i="2"/>
  <c r="F9" i="2"/>
  <c r="E9" i="2"/>
  <c r="D9" i="2"/>
  <c r="G9" i="2"/>
  <c r="B59" i="2"/>
  <c r="C10" i="2"/>
  <c r="E10" i="2"/>
  <c r="B61" i="2" s="1"/>
  <c r="M10" i="2"/>
  <c r="D10" i="2"/>
  <c r="N10" i="2"/>
  <c r="K10" i="2"/>
  <c r="C6" i="2"/>
  <c r="E6" i="2"/>
  <c r="G10" i="2"/>
  <c r="J10" i="2"/>
  <c r="F10" i="2"/>
  <c r="L10" i="2"/>
  <c r="R8" i="2"/>
  <c r="N6" i="2" s="1"/>
  <c r="N5" i="2"/>
  <c r="G5" i="2"/>
  <c r="D5" i="2"/>
  <c r="K5" i="2"/>
  <c r="R2" i="2"/>
  <c r="F6" i="2" s="1"/>
  <c r="M5" i="2"/>
  <c r="F5" i="2"/>
  <c r="H5" i="2" s="1"/>
  <c r="J5" i="2"/>
  <c r="C5" i="2"/>
  <c r="J9" i="2"/>
  <c r="J6" i="2"/>
  <c r="L6" i="2"/>
  <c r="K9" i="2"/>
  <c r="L9" i="2"/>
  <c r="M9" i="2"/>
  <c r="M4" i="2"/>
  <c r="L4" i="2"/>
  <c r="N9" i="2"/>
  <c r="J4" i="2"/>
  <c r="K4" i="2"/>
  <c r="D52" i="15"/>
  <c r="S52" i="15" s="1"/>
  <c r="D49" i="15"/>
  <c r="S49" i="15" s="1"/>
  <c r="V17" i="14"/>
  <c r="B2" i="14"/>
  <c r="C2" i="14" s="1"/>
  <c r="W14" i="14"/>
  <c r="B18" i="12"/>
  <c r="J6" i="1"/>
  <c r="G21" i="1"/>
  <c r="V15" i="14"/>
  <c r="B55" i="14"/>
  <c r="A22" i="1"/>
  <c r="B22" i="1"/>
  <c r="V16" i="14"/>
  <c r="W15" i="14" s="1"/>
  <c r="G20" i="1"/>
  <c r="H18" i="12"/>
  <c r="I28" i="15"/>
  <c r="N13" i="15"/>
  <c r="B55" i="15"/>
  <c r="B52" i="15"/>
  <c r="B53" i="15" s="1"/>
  <c r="B54" i="15"/>
  <c r="Q54" i="15" s="1"/>
  <c r="C9" i="14"/>
  <c r="B51" i="15"/>
  <c r="Q51" i="15" s="1"/>
  <c r="V6" i="14"/>
  <c r="W2" i="14" s="1"/>
  <c r="B57" i="15"/>
  <c r="Q57" i="15" s="1"/>
  <c r="C52" i="15" l="1"/>
  <c r="C51" i="15"/>
  <c r="C55" i="15"/>
  <c r="E52" i="15"/>
  <c r="F52" i="15" s="1"/>
  <c r="G52" i="15" s="1"/>
  <c r="U52" i="15" s="1"/>
  <c r="E56" i="15"/>
  <c r="F56" i="15" s="1"/>
  <c r="E51" i="15"/>
  <c r="F51" i="15" s="1"/>
  <c r="E55" i="15"/>
  <c r="F55" i="15" s="1"/>
  <c r="C54" i="15"/>
  <c r="C53" i="15"/>
  <c r="C50" i="15"/>
  <c r="E50" i="15" s="1"/>
  <c r="R52" i="15"/>
  <c r="T52" i="15" s="1"/>
  <c r="Q55" i="15"/>
  <c r="Q56" i="15" s="1"/>
  <c r="B56" i="15"/>
  <c r="P7" i="2"/>
  <c r="H6" i="2"/>
  <c r="P8" i="2"/>
  <c r="B60" i="2"/>
  <c r="B45" i="2"/>
  <c r="B46" i="2"/>
  <c r="B41" i="2"/>
  <c r="B43" i="2"/>
  <c r="O7" i="2"/>
  <c r="N8" i="2"/>
  <c r="I8" i="2"/>
  <c r="H8" i="2"/>
  <c r="K7" i="2"/>
  <c r="I7" i="2"/>
  <c r="B53" i="2" s="1"/>
  <c r="H7" i="2"/>
  <c r="B52" i="2" s="1"/>
  <c r="L7" i="2"/>
  <c r="M7" i="2"/>
  <c r="J7" i="2"/>
  <c r="D6" i="2"/>
  <c r="L8" i="2"/>
  <c r="R49" i="15"/>
  <c r="R51" i="15"/>
  <c r="T51" i="15" s="1"/>
  <c r="B56" i="2"/>
  <c r="B55" i="2"/>
  <c r="J8" i="2"/>
  <c r="M6" i="2"/>
  <c r="G6" i="2"/>
  <c r="K8" i="2"/>
  <c r="B42" i="2"/>
  <c r="B44" i="2"/>
  <c r="B40" i="2"/>
  <c r="G29" i="15"/>
  <c r="U4" i="14"/>
  <c r="V26" i="14" s="1"/>
  <c r="U26" i="14" s="1"/>
  <c r="U5" i="14"/>
  <c r="V27" i="14" s="1"/>
  <c r="U27" i="14" s="1"/>
  <c r="G31" i="15"/>
  <c r="H28" i="15"/>
  <c r="A36" i="15" s="1"/>
  <c r="P36" i="15"/>
  <c r="C57" i="15"/>
  <c r="W10" i="14"/>
  <c r="J10" i="12" s="1"/>
  <c r="N5" i="15" s="1"/>
  <c r="V24" i="14"/>
  <c r="U24" i="14" s="1"/>
  <c r="N7" i="2"/>
  <c r="B54" i="2"/>
  <c r="B58" i="2"/>
  <c r="B57" i="2"/>
  <c r="M8" i="2"/>
  <c r="F7" i="2"/>
  <c r="B50" i="2" s="1"/>
  <c r="E7" i="2"/>
  <c r="B49" i="2" s="1"/>
  <c r="G7" i="2"/>
  <c r="B51" i="2" s="1"/>
  <c r="C7" i="2"/>
  <c r="B47" i="2" s="1"/>
  <c r="D7" i="2"/>
  <c r="B48" i="2" s="1"/>
  <c r="E8" i="2"/>
  <c r="C8" i="2"/>
  <c r="G8" i="2"/>
  <c r="D8" i="2"/>
  <c r="F8" i="2"/>
  <c r="W16" i="14"/>
  <c r="W17" i="14" s="1"/>
  <c r="A10" i="12"/>
  <c r="A5" i="15" s="1"/>
  <c r="V18" i="14"/>
  <c r="A11" i="15"/>
  <c r="A10" i="15"/>
  <c r="A9" i="15"/>
  <c r="N7" i="15"/>
  <c r="N52" i="15"/>
  <c r="Q52" i="15"/>
  <c r="C65" i="14"/>
  <c r="V11" i="14"/>
  <c r="E23" i="1" l="1"/>
  <c r="G76" i="1" s="1"/>
  <c r="E53" i="15"/>
  <c r="F53" i="15" s="1"/>
  <c r="G53" i="15" s="1"/>
  <c r="U53" i="15" s="1"/>
  <c r="E54" i="15"/>
  <c r="F54" i="15" s="1"/>
  <c r="G54" i="15" s="1"/>
  <c r="U54" i="15" s="1"/>
  <c r="E57" i="15"/>
  <c r="F57" i="15" s="1"/>
  <c r="E49" i="15"/>
  <c r="F50" i="15"/>
  <c r="Q53" i="15"/>
  <c r="C35" i="21" s="1"/>
  <c r="R53" i="15"/>
  <c r="T53" i="15" s="1"/>
  <c r="R56" i="15"/>
  <c r="T56" i="15" s="1"/>
  <c r="R55" i="15"/>
  <c r="T55" i="15" s="1"/>
  <c r="G55" i="15"/>
  <c r="U55" i="15" s="1"/>
  <c r="R54" i="15"/>
  <c r="T54" i="15" s="1"/>
  <c r="G51" i="15"/>
  <c r="U51" i="15" s="1"/>
  <c r="R57" i="15"/>
  <c r="T57" i="15" s="1"/>
  <c r="F49" i="15"/>
  <c r="G49" i="15" s="1"/>
  <c r="U11" i="14"/>
  <c r="R50" i="15"/>
  <c r="T50" i="15" s="1"/>
  <c r="E10" i="12"/>
  <c r="H5" i="15" s="1"/>
  <c r="AC2" i="14"/>
  <c r="AD2" i="14" s="1"/>
  <c r="AC5" i="14" s="1"/>
  <c r="AC1" i="14"/>
  <c r="AD1" i="14" s="1"/>
  <c r="F10" i="12"/>
  <c r="I5" i="15" s="1"/>
  <c r="L26" i="12" l="1"/>
  <c r="G57" i="15"/>
  <c r="U57" i="15" s="1"/>
  <c r="G56" i="15"/>
  <c r="I53" i="15"/>
  <c r="I55" i="15"/>
  <c r="V55" i="15" s="1"/>
  <c r="J88" i="1"/>
  <c r="E82" i="1" s="1"/>
  <c r="J76" i="1"/>
  <c r="G69" i="1" s="1"/>
  <c r="G72" i="1" s="1"/>
  <c r="H72" i="1" s="1"/>
  <c r="F38" i="1"/>
  <c r="G38" i="1" s="1"/>
  <c r="F41" i="1"/>
  <c r="G41" i="1" s="1"/>
  <c r="J18" i="12"/>
  <c r="L24" i="12" s="1"/>
  <c r="M24" i="12" s="1"/>
  <c r="F42" i="1"/>
  <c r="G42" i="1" s="1"/>
  <c r="F37" i="1"/>
  <c r="G37" i="1" s="1"/>
  <c r="F32" i="21"/>
  <c r="I52" i="15"/>
  <c r="M52" i="15" s="1"/>
  <c r="X52" i="15" s="1"/>
  <c r="F39" i="1"/>
  <c r="G39" i="1" s="1"/>
  <c r="F40" i="1"/>
  <c r="G40" i="1" s="1"/>
  <c r="G29" i="1"/>
  <c r="G50" i="15"/>
  <c r="U50" i="15" s="1"/>
  <c r="I57" i="15"/>
  <c r="M57" i="15" s="1"/>
  <c r="X57" i="15" s="1"/>
  <c r="U49" i="15"/>
  <c r="T49" i="15" s="1"/>
  <c r="I49" i="15"/>
  <c r="AC6" i="14"/>
  <c r="AC3" i="14"/>
  <c r="AC4" i="14" s="1"/>
  <c r="AD4" i="14" s="1"/>
  <c r="AC7" i="14" s="1"/>
  <c r="AD7" i="14" s="1"/>
  <c r="U56" i="15" l="1"/>
  <c r="M26" i="12" s="1"/>
  <c r="I56" i="15"/>
  <c r="V56" i="15" s="1"/>
  <c r="I54" i="15"/>
  <c r="V54" i="15" s="1"/>
  <c r="M55" i="15"/>
  <c r="M53" i="15"/>
  <c r="X53" i="15" s="1"/>
  <c r="V53" i="15"/>
  <c r="V52" i="15"/>
  <c r="H69" i="1"/>
  <c r="L25" i="12"/>
  <c r="L23" i="12"/>
  <c r="M23" i="12" s="1"/>
  <c r="P23" i="12" s="1"/>
  <c r="Q23" i="12" s="1"/>
  <c r="J23" i="12" s="1"/>
  <c r="E35" i="21" s="1"/>
  <c r="E41" i="21" s="1"/>
  <c r="G70" i="1"/>
  <c r="H70" i="1" s="1"/>
  <c r="J40" i="1"/>
  <c r="J42" i="1" s="1"/>
  <c r="F43" i="1" s="1"/>
  <c r="G43" i="1" s="1"/>
  <c r="G45" i="1" s="1"/>
  <c r="G74" i="1"/>
  <c r="H74" i="1" s="1"/>
  <c r="I51" i="15"/>
  <c r="M51" i="15" s="1"/>
  <c r="X51" i="15" s="1"/>
  <c r="G73" i="1"/>
  <c r="H73" i="1" s="1"/>
  <c r="AD6" i="14"/>
  <c r="AB8" i="14" s="1"/>
  <c r="AB10" i="14" s="1"/>
  <c r="AB11" i="14" s="1"/>
  <c r="AB12" i="14" s="1"/>
  <c r="AB13" i="14" s="1"/>
  <c r="AB14" i="14" s="1"/>
  <c r="V12" i="14" s="1"/>
  <c r="K57" i="15"/>
  <c r="W57" i="15" s="1"/>
  <c r="V57" i="15"/>
  <c r="V49" i="15"/>
  <c r="M49" i="15"/>
  <c r="N24" i="12"/>
  <c r="P24" i="12"/>
  <c r="K52" i="15"/>
  <c r="W52" i="15" s="1"/>
  <c r="M25" i="12" l="1"/>
  <c r="P25" i="12" s="1"/>
  <c r="Q25" i="12" s="1"/>
  <c r="M56" i="15"/>
  <c r="K56" i="15" s="1"/>
  <c r="W56" i="15" s="1"/>
  <c r="M54" i="15"/>
  <c r="X54" i="15" s="1"/>
  <c r="K53" i="15"/>
  <c r="W53" i="15" s="1"/>
  <c r="K55" i="15"/>
  <c r="W55" i="15" s="1"/>
  <c r="X55" i="15"/>
  <c r="C36" i="21"/>
  <c r="N23" i="12"/>
  <c r="O23" i="12" s="1"/>
  <c r="G23" i="12" s="1"/>
  <c r="D35" i="21" s="1"/>
  <c r="D41" i="21" s="1"/>
  <c r="K51" i="15"/>
  <c r="W51" i="15" s="1"/>
  <c r="F45" i="1"/>
  <c r="E45" i="1" s="1"/>
  <c r="V51" i="15"/>
  <c r="I50" i="15"/>
  <c r="V50" i="15" s="1"/>
  <c r="X49" i="15"/>
  <c r="K49" i="15"/>
  <c r="W49" i="15" s="1"/>
  <c r="Q24" i="12"/>
  <c r="O24" i="12"/>
  <c r="N25" i="12" l="1"/>
  <c r="O25" i="12" s="1"/>
  <c r="X56" i="15"/>
  <c r="N26" i="12"/>
  <c r="K54" i="15"/>
  <c r="W54" i="15" s="1"/>
  <c r="L27" i="12"/>
  <c r="L30" i="12" s="1"/>
  <c r="D23" i="12"/>
  <c r="F35" i="21" s="1"/>
  <c r="F41" i="21" s="1"/>
  <c r="J41" i="1"/>
  <c r="J52" i="1"/>
  <c r="M50" i="15"/>
  <c r="K50" i="15" s="1"/>
  <c r="W50" i="15" s="1"/>
  <c r="P26" i="12" l="1"/>
  <c r="Q26" i="12" s="1"/>
  <c r="Q27" i="12" s="1"/>
  <c r="J24" i="12" s="1"/>
  <c r="E36" i="21" s="1"/>
  <c r="E42" i="21" s="1"/>
  <c r="M27" i="12"/>
  <c r="M30" i="12" s="1"/>
  <c r="O26" i="12"/>
  <c r="O27" i="12" s="1"/>
  <c r="O30" i="12" s="1"/>
  <c r="N27" i="12"/>
  <c r="N30" i="12" s="1"/>
  <c r="X50" i="15"/>
  <c r="P27" i="12" l="1"/>
  <c r="P30" i="12" s="1"/>
  <c r="J26" i="12"/>
  <c r="E38" i="21" s="1"/>
  <c r="E44" i="21" s="1"/>
  <c r="Q30" i="12"/>
  <c r="G24" i="12"/>
  <c r="D36" i="21" s="1"/>
  <c r="D42" i="21" s="1"/>
  <c r="G26" i="12" l="1"/>
  <c r="D38" i="21" s="1"/>
  <c r="D44" i="21" s="1"/>
  <c r="D24" i="12"/>
  <c r="F36" i="21" s="1"/>
  <c r="F42" i="21" s="1"/>
  <c r="D26" i="12" l="1"/>
  <c r="F38" i="21" s="1"/>
  <c r="F44"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Frei</author>
  </authors>
  <commentList>
    <comment ref="F13" authorId="0" shapeId="0" xr:uid="{E26C50AB-F56A-4199-9B71-EDDDF3F2AC42}">
      <text>
        <r>
          <rPr>
            <b/>
            <sz val="9"/>
            <color indexed="81"/>
            <rFont val="Segoe UI"/>
            <charset val="1"/>
          </rPr>
          <t>Andreas Frei:</t>
        </r>
        <r>
          <rPr>
            <sz val="9"/>
            <color indexed="81"/>
            <rFont val="Segoe UI"/>
            <charset val="1"/>
          </rPr>
          <t xml:space="preserve">
Tarif ist bereits zu 95%</t>
        </r>
      </text>
    </comment>
    <comment ref="F19" authorId="0" shapeId="0" xr:uid="{C690DA72-FE70-47B8-8DE2-242D97E4CC7B}">
      <text>
        <r>
          <rPr>
            <b/>
            <sz val="9"/>
            <color indexed="81"/>
            <rFont val="Segoe UI"/>
            <charset val="1"/>
          </rPr>
          <t>Andreas Frei:</t>
        </r>
        <r>
          <rPr>
            <sz val="9"/>
            <color indexed="81"/>
            <rFont val="Segoe UI"/>
            <charset val="1"/>
          </rPr>
          <t xml:space="preserve">
Tarif ist bereits zu 75%</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<sst xmlns="http://schemas.openxmlformats.org/spreadsheetml/2006/main" count="994" uniqueCount="670">
  <si>
    <t>Erstellt durch</t>
  </si>
  <si>
    <t>Regl.</t>
  </si>
  <si>
    <t>5  VL = 1/2 Koordinationsabzug</t>
  </si>
  <si>
    <t>Geschlecht</t>
  </si>
  <si>
    <t>A1</t>
  </si>
  <si>
    <t>A2</t>
  </si>
  <si>
    <t>A3</t>
  </si>
  <si>
    <t>A4</t>
  </si>
  <si>
    <t>A5</t>
  </si>
  <si>
    <t>Altersvorsorge</t>
  </si>
  <si>
    <t>A</t>
  </si>
  <si>
    <t>ZS</t>
  </si>
  <si>
    <t>Zusatzsparen</t>
  </si>
  <si>
    <t>ZS1</t>
  </si>
  <si>
    <t>ZS2</t>
  </si>
  <si>
    <t>R</t>
  </si>
  <si>
    <t>Risikobeiträge</t>
  </si>
  <si>
    <t>TK</t>
  </si>
  <si>
    <t>Todesfallkapital</t>
  </si>
  <si>
    <t>R1</t>
  </si>
  <si>
    <t>TK2</t>
  </si>
  <si>
    <t>Beitragsbefreiung</t>
  </si>
  <si>
    <t>L</t>
  </si>
  <si>
    <t>versicherter Lohn</t>
  </si>
  <si>
    <t>Risikoversicherung</t>
  </si>
  <si>
    <t>L1</t>
  </si>
  <si>
    <t>L2</t>
  </si>
  <si>
    <t>L3</t>
  </si>
  <si>
    <t>L4</t>
  </si>
  <si>
    <t>Alter</t>
  </si>
  <si>
    <t>Name</t>
  </si>
  <si>
    <t>AHV-Nummer</t>
  </si>
  <si>
    <t>18-24</t>
  </si>
  <si>
    <t>25-34</t>
  </si>
  <si>
    <t>35-44</t>
  </si>
  <si>
    <t>45-54</t>
  </si>
  <si>
    <t>BbA1</t>
  </si>
  <si>
    <t>BbA2</t>
  </si>
  <si>
    <t>BbA3</t>
  </si>
  <si>
    <t>BbA4</t>
  </si>
  <si>
    <t>BbA5</t>
  </si>
  <si>
    <t>BbZS1</t>
  </si>
  <si>
    <t>BbZS2</t>
  </si>
  <si>
    <t>%</t>
  </si>
  <si>
    <t>nein</t>
  </si>
  <si>
    <t>Sparbeiträge</t>
  </si>
  <si>
    <t>R2/30</t>
  </si>
  <si>
    <t>R2/35</t>
  </si>
  <si>
    <t>R2/40</t>
  </si>
  <si>
    <t>R2/45</t>
  </si>
  <si>
    <t>R2/50</t>
  </si>
  <si>
    <t>R2/55</t>
  </si>
  <si>
    <t>R2/60</t>
  </si>
  <si>
    <t>Beitragsbefreiung A</t>
  </si>
  <si>
    <t>Beitragsbefreiung ZS</t>
  </si>
  <si>
    <t>TK1/50</t>
  </si>
  <si>
    <t>TK1/100</t>
  </si>
  <si>
    <t>TK1/150</t>
  </si>
  <si>
    <t>TK1/200</t>
  </si>
  <si>
    <t>Bb</t>
  </si>
  <si>
    <t>Total</t>
  </si>
  <si>
    <t>R2/10</t>
  </si>
  <si>
    <t>R2/15</t>
  </si>
  <si>
    <t>R2/20</t>
  </si>
  <si>
    <t>R2/25</t>
  </si>
  <si>
    <t>VK</t>
  </si>
  <si>
    <t>Verwaltungskosten</t>
  </si>
  <si>
    <t>720 Tage</t>
  </si>
  <si>
    <t>360 Tage</t>
  </si>
  <si>
    <t>Wartefrist</t>
  </si>
  <si>
    <t>BVG</t>
  </si>
  <si>
    <t>Invalidenkinderrente</t>
  </si>
  <si>
    <t>Ehe-/Lebenspartnerrente</t>
  </si>
  <si>
    <t>Waisenrente</t>
  </si>
  <si>
    <t>Vollwaisenrente</t>
  </si>
  <si>
    <r>
      <t>Bb</t>
    </r>
    <r>
      <rPr>
        <sz val="10"/>
        <rFont val="Arial"/>
        <family val="2"/>
      </rPr>
      <t>A</t>
    </r>
  </si>
  <si>
    <r>
      <t>Bb</t>
    </r>
    <r>
      <rPr>
        <sz val="10"/>
        <rFont val="Arial"/>
        <family val="2"/>
      </rPr>
      <t>ZS</t>
    </r>
  </si>
  <si>
    <t>Umwandlungssatz</t>
  </si>
  <si>
    <t>2018 ff.</t>
  </si>
  <si>
    <t>10% vL</t>
  </si>
  <si>
    <t>15% vL</t>
  </si>
  <si>
    <t>20% vL</t>
  </si>
  <si>
    <t>25% vL</t>
  </si>
  <si>
    <t>30% vL</t>
  </si>
  <si>
    <t>35% vL</t>
  </si>
  <si>
    <t>40% vL</t>
  </si>
  <si>
    <t>45% vL</t>
  </si>
  <si>
    <t>50% vL</t>
  </si>
  <si>
    <t>55% vL</t>
  </si>
  <si>
    <t>60% vL</t>
  </si>
  <si>
    <t>Invalidenrente</t>
  </si>
  <si>
    <t>20% InvR</t>
  </si>
  <si>
    <t xml:space="preserve"> </t>
  </si>
  <si>
    <t>100% vL</t>
  </si>
  <si>
    <t>150% vL</t>
  </si>
  <si>
    <t>200% vL</t>
  </si>
  <si>
    <t>AHV-pflichtiger Jahreslohn</t>
  </si>
  <si>
    <t>Lohnmodul</t>
  </si>
  <si>
    <t>keine</t>
  </si>
  <si>
    <t>Code</t>
  </si>
  <si>
    <t>1949 ff.</t>
  </si>
  <si>
    <t>Einkäufe</t>
  </si>
  <si>
    <t>Versicherter Lohn</t>
  </si>
  <si>
    <t>Module</t>
  </si>
  <si>
    <t>Einkaufspotential</t>
  </si>
  <si>
    <t>Tabellenwert A</t>
  </si>
  <si>
    <t>Tabellenwert ZS</t>
  </si>
  <si>
    <t>ZS nein</t>
  </si>
  <si>
    <t>ZS0</t>
  </si>
  <si>
    <t>Beitragssätze</t>
  </si>
  <si>
    <t>Mann</t>
  </si>
  <si>
    <t>Frau</t>
  </si>
  <si>
    <t>Geburtsjahr/Alter</t>
  </si>
  <si>
    <t>Eintrittsschwelle</t>
  </si>
  <si>
    <t>Fr./Monat</t>
  </si>
  <si>
    <t>Fr./Jahr</t>
  </si>
  <si>
    <t>Arbeitgeberanteil 50 %; anderer:</t>
  </si>
  <si>
    <t>Mindestjahreslohn</t>
  </si>
  <si>
    <t>minimaler koord. Lohn</t>
  </si>
  <si>
    <t>Koordinationsabzug</t>
  </si>
  <si>
    <t>1/3 Koordinationsabzug</t>
  </si>
  <si>
    <t>obere Limite</t>
  </si>
  <si>
    <t>UVG-Maximum</t>
  </si>
  <si>
    <t>koordinierter Lohn</t>
  </si>
  <si>
    <t>BVG-Maximum</t>
  </si>
  <si>
    <t>anderer:</t>
  </si>
  <si>
    <t>Kapital</t>
  </si>
  <si>
    <t>Rente/Monat</t>
  </si>
  <si>
    <t>Rente/Jahr</t>
  </si>
  <si>
    <t>voraussichtliche Altersleistungen</t>
  </si>
  <si>
    <t>Alterskinderrente</t>
  </si>
  <si>
    <t>VERSICHERTER LOHN</t>
  </si>
  <si>
    <t>Es besteht gemäss Wahl keine Obergrenze.</t>
  </si>
  <si>
    <t>R2/65</t>
  </si>
  <si>
    <t>R2/70</t>
  </si>
  <si>
    <t>65% vL</t>
  </si>
  <si>
    <t>70% vL</t>
  </si>
  <si>
    <t>ohne</t>
  </si>
  <si>
    <t>mit</t>
  </si>
  <si>
    <t>UVG</t>
  </si>
  <si>
    <t>Plafond</t>
  </si>
  <si>
    <t>CHF</t>
  </si>
  <si>
    <t>Total Jahresbeitrag</t>
  </si>
  <si>
    <t>Status/Alter bei PAT-Eintritt</t>
  </si>
  <si>
    <t>3.</t>
  </si>
  <si>
    <t>1.</t>
  </si>
  <si>
    <t>Jahreslohn</t>
  </si>
  <si>
    <t>3.1</t>
  </si>
  <si>
    <t>1.1</t>
  </si>
  <si>
    <t>1.2</t>
  </si>
  <si>
    <t>1.3</t>
  </si>
  <si>
    <t>1.4</t>
  </si>
  <si>
    <t>1.5</t>
  </si>
  <si>
    <t>VERSICHERTE PERSON</t>
  </si>
  <si>
    <t>JAHRESBEITRAG</t>
  </si>
  <si>
    <t>FREIWILLIGE EINKÄUFE</t>
  </si>
  <si>
    <t>GRUNDDATEN</t>
  </si>
  <si>
    <t>LEISTUNGEN</t>
  </si>
  <si>
    <t>BEITRÄGE</t>
  </si>
  <si>
    <t>MODULE</t>
  </si>
  <si>
    <t>L4 (AHV-Lohn)</t>
  </si>
  <si>
    <t>L3 (80% AHV-Lohn)</t>
  </si>
  <si>
    <t>L1 (BVG)</t>
  </si>
  <si>
    <t>L2 (BVG; nach BS-Grad)</t>
  </si>
  <si>
    <t>A1 (7/10/15/18%)</t>
  </si>
  <si>
    <t>A2 (11/12/15/18%)</t>
  </si>
  <si>
    <t>A3 (16,5/16,5/16,5/18%)</t>
  </si>
  <si>
    <t>A4 (20/20/20/20%)</t>
  </si>
  <si>
    <t>A5 (21/22/23/25%)</t>
  </si>
  <si>
    <t>kein Zusatzsparen</t>
  </si>
  <si>
    <t>ZS1 (2/2/2/0%)</t>
  </si>
  <si>
    <t>ZS2 (4/3/2/0%)</t>
  </si>
  <si>
    <t>R1 (gemäss BVG)</t>
  </si>
  <si>
    <t>R2 (10%)</t>
  </si>
  <si>
    <t>R2 (15%)</t>
  </si>
  <si>
    <t>R2 (20%)</t>
  </si>
  <si>
    <t>R2 (25%)</t>
  </si>
  <si>
    <t>R2 (30%)</t>
  </si>
  <si>
    <t>R2 (35%)</t>
  </si>
  <si>
    <t>R2 (40%)</t>
  </si>
  <si>
    <t>R2 (45%)</t>
  </si>
  <si>
    <t>R2 (50%)</t>
  </si>
  <si>
    <t>R2 (55%)</t>
  </si>
  <si>
    <t>R2 (60%)</t>
  </si>
  <si>
    <t>R2 (65%)</t>
  </si>
  <si>
    <t>R2 (70%)</t>
  </si>
  <si>
    <t>TK1 (200%)</t>
  </si>
  <si>
    <t>TK1 (150%)</t>
  </si>
  <si>
    <t>TK1 (100%)</t>
  </si>
  <si>
    <t>TK1 (50%)</t>
  </si>
  <si>
    <t>kein zusätzliches TK</t>
  </si>
  <si>
    <t>BB gemäss BVG-Minimum</t>
  </si>
  <si>
    <t>–</t>
  </si>
  <si>
    <t>R10%</t>
  </si>
  <si>
    <t>R15%</t>
  </si>
  <si>
    <t>R20%</t>
  </si>
  <si>
    <t>R25%</t>
  </si>
  <si>
    <t>R30%</t>
  </si>
  <si>
    <t>R35%</t>
  </si>
  <si>
    <t>R40%</t>
  </si>
  <si>
    <t>R45%</t>
  </si>
  <si>
    <t>R50%</t>
  </si>
  <si>
    <t>R55%</t>
  </si>
  <si>
    <t>R60%</t>
  </si>
  <si>
    <t>R65%</t>
  </si>
  <si>
    <t>R70%</t>
  </si>
  <si>
    <t>TK50%</t>
  </si>
  <si>
    <t>TK100%</t>
  </si>
  <si>
    <t>TK150%</t>
  </si>
  <si>
    <t>TK200%</t>
  </si>
  <si>
    <t>BbZS0</t>
  </si>
  <si>
    <t>ohne Plafond</t>
  </si>
  <si>
    <t>A.9</t>
  </si>
  <si>
    <t>Vorname</t>
  </si>
  <si>
    <t>Titel</t>
  </si>
  <si>
    <t>F.5</t>
  </si>
  <si>
    <t>Zuständig</t>
  </si>
  <si>
    <t>Telefonnummer</t>
  </si>
  <si>
    <t>071 228 13 13</t>
  </si>
  <si>
    <t>Bezeichnung (Andruck auf Outputs)</t>
  </si>
  <si>
    <t>aber höchstens abzüglich des Koordinationsabzug gemäss BVG versichert.</t>
  </si>
  <si>
    <t>b) dem Zusatzsparen: Es wurde kein Zusatzsparen gewählt.</t>
  </si>
  <si>
    <t>b) dem Zusatzsparen gemäss dem gewählten Modul ZS1.</t>
  </si>
  <si>
    <t>b) dem Zusatzsparen gemäss dem gewählten Modul ZS2.</t>
  </si>
  <si>
    <t>a) den Sparbeiträgen gemäss dem gewählten Modul A1;</t>
  </si>
  <si>
    <t>a) den Sparbeiträgen gemäss dem gewählten Modul A2;</t>
  </si>
  <si>
    <t>a) den Sparbeiträgen gemäss dem gewählten Modul A3;</t>
  </si>
  <si>
    <t>a) den Sparbeiträgen gemäss dem gewählten Modul A4;</t>
  </si>
  <si>
    <t>a) den Sparbeiträgen gemäss dem gewählten Modul A5;</t>
  </si>
  <si>
    <t>Gemäss gewähltem Modul wird ein zusätzliches Todesfallkapital von 50% des versicherten Lohns ausgerichtet.</t>
  </si>
  <si>
    <t>Gemäss gewähltem Modul wird ein zusätzliches Todesfallkapital von 100% des versicherten Lohns ausgerichtet.</t>
  </si>
  <si>
    <t>Gemäss gewähltem Modul wird ein zusätzliches Todesfallkapital von 150% des versicherten Lohns ausgerichtet.</t>
  </si>
  <si>
    <t>Geburtsdatum</t>
  </si>
  <si>
    <t>Plan</t>
  </si>
  <si>
    <t>LBI:</t>
  </si>
  <si>
    <t>BVG-Eintrittsschwelle</t>
  </si>
  <si>
    <t>Eintrittsschwelle 1/2 Koord.abzug</t>
  </si>
  <si>
    <t>BVG-Plafond</t>
  </si>
  <si>
    <t>UVG-Plafond</t>
  </si>
  <si>
    <t>AG</t>
  </si>
  <si>
    <t>Verwaltungskostenbeitrag</t>
  </si>
  <si>
    <t>AG-Anteil (%)</t>
  </si>
  <si>
    <t>Muster gemäss Beitragsdetail:</t>
  </si>
  <si>
    <t>Versichertes Einkommen (Fr./Jahr):</t>
  </si>
  <si>
    <t>Beiträge (Fr./Jahr):</t>
  </si>
  <si>
    <t>Beiträge (Fr./Monat):</t>
  </si>
  <si>
    <t>Gemäss gewähltem Modul wird ein zusätzliches Todesfallkapital von 200% des versicherten Lohns ausgerichtet.</t>
  </si>
  <si>
    <t>ausgerichtet nach 720 Tagen.</t>
  </si>
  <si>
    <t>ausgerichtet nach 360 Tagen.</t>
  </si>
  <si>
    <t>Die Invalidenrente entspricht gemäss Wahl 10% des versicherten Lohnes</t>
  </si>
  <si>
    <t>Die Invalidenrente entspricht gemäss Wahl 15% des versicherten Lohnes</t>
  </si>
  <si>
    <t>Die Invalidenrente entspricht gemäss Wahl 20% des versicherten Lohnes</t>
  </si>
  <si>
    <t>Die Invalidenrente entspricht gemäss Wahl 25% des versicherten Lohnes</t>
  </si>
  <si>
    <t>Die Invalidenrente entspricht gemäss Wahl 30% des versicherten Lohnes</t>
  </si>
  <si>
    <t>Die Invalidenrente entspricht gemäss Wahl 35% des versicherten Lohnes</t>
  </si>
  <si>
    <t>Die Invalidenrente entspricht gemäss Wahl 40% des versicherten Lohnes</t>
  </si>
  <si>
    <t>Die Invalidenrente entspricht gemäss Wahl 45% des versicherten Lohnes</t>
  </si>
  <si>
    <t>Die Invalidenrente entspricht gemäss Wahl 50% des versicherten Lohnes</t>
  </si>
  <si>
    <t>Die Invalidenrente entspricht gemäss Wahl 55% des versicherten Lohnes</t>
  </si>
  <si>
    <t>Die Invalidenrente entspricht gemäss Wahl 60% des versicherten Lohnes</t>
  </si>
  <si>
    <t>Die Invalidenrente entspricht gemäss Wahl 65% des versicherten Lohnes</t>
  </si>
  <si>
    <t>Die Invalidenrente entspricht gemäss Wahl 70% des versicherten Lohnes</t>
  </si>
  <si>
    <t>Die Invalidenrente entspricht gemäss Wahl dem BVG-Minimum</t>
  </si>
  <si>
    <t>BB gemäss Plan</t>
  </si>
  <si>
    <t>Personenkreis</t>
  </si>
  <si>
    <t>_</t>
  </si>
  <si>
    <t>Ordentliches AHV-Alter</t>
  </si>
  <si>
    <t>BB(Mod.)</t>
  </si>
  <si>
    <t>BB(BVG)</t>
  </si>
  <si>
    <t>AN</t>
  </si>
  <si>
    <t>50+</t>
  </si>
  <si>
    <t xml:space="preserve">Mit dem Modul L2 ist das AHV-Einkommen abzüglich des dem Beschäftigungsgrad angepassten </t>
  </si>
  <si>
    <t>Mit dem Modul L1 ist das AHV-Einkommen abzüglich Koordinationsabzug versichert.</t>
  </si>
  <si>
    <t xml:space="preserve">Mit dem Modul L3 ist das AHV-Einkommen abzüglich 20 % des Einkommens, </t>
  </si>
  <si>
    <t>Mit dem Modul L4 ist das AHV-Einkommen ohne Koordinationsabzug versichert.</t>
  </si>
  <si>
    <t>Gemäss Wahl wird nur das reglementarische Todesfallkapital ausgerichtet (Ziffer 19 des Reglements).</t>
  </si>
  <si>
    <t>B</t>
  </si>
  <si>
    <t>C</t>
  </si>
  <si>
    <t>D</t>
  </si>
  <si>
    <t>E</t>
  </si>
  <si>
    <t>F</t>
  </si>
  <si>
    <t>L5 (1/2 Koordinationsabzug)</t>
  </si>
  <si>
    <t>L5</t>
  </si>
  <si>
    <t>Mit dem Modul L5 ist das AHV-Einkommen mit dem halben Koordinationsabzug versichert.</t>
  </si>
  <si>
    <t>M</t>
  </si>
  <si>
    <t>Offerte per (Monatserster)</t>
  </si>
  <si>
    <t>Offerte per</t>
  </si>
  <si>
    <t>SE</t>
  </si>
  <si>
    <t>Eintritt</t>
  </si>
  <si>
    <t>egal</t>
  </si>
  <si>
    <t>2015-</t>
  </si>
  <si>
    <t>vor 1.7.11</t>
  </si>
  <si>
    <t>nach 1.7.11</t>
  </si>
  <si>
    <t>Status</t>
  </si>
  <si>
    <t>Eintrittsalter</t>
  </si>
  <si>
    <t>1. bis 2014 (SE -50 und AN)</t>
  </si>
  <si>
    <t>1.1 Männer</t>
  </si>
  <si>
    <t>1.2 Frauen</t>
  </si>
  <si>
    <t>2. ab 2015 SE -50 / AN</t>
  </si>
  <si>
    <t>1.1/1.2</t>
  </si>
  <si>
    <t>SE: Eintritt vor 50</t>
  </si>
  <si>
    <t>SE: Eintritt nach 50/vor 1.7.11</t>
  </si>
  <si>
    <t>SE: Eintritt nach 50/ab 1.7.11</t>
  </si>
  <si>
    <t>Gruppe</t>
  </si>
  <si>
    <t>Jg.</t>
  </si>
  <si>
    <t>3. ab 2012/2015 SE 50+</t>
  </si>
  <si>
    <t>G1</t>
  </si>
  <si>
    <t>G2</t>
  </si>
  <si>
    <t>G3</t>
  </si>
  <si>
    <t>BVG-Minimum</t>
  </si>
  <si>
    <t>UWS Rente</t>
  </si>
  <si>
    <t>Die Alterskinderrente beträgt ab dem ordentlichen AHV-Alter 20% der Altersrente. Bei vorzeitiger Pensionierung berechnet sich die Alterskinderrente gemäss BVG.</t>
  </si>
  <si>
    <t>Die Alterskinderrente beträgt ab dem ordentlichen AHV-Alter 20% der Altersrente, ab 2015 berechnet sie sich gemäss BVG. Bei vorzeitiger Pensionierung berechnet sich die Alterskinderrente gemäss BVG.</t>
  </si>
  <si>
    <t>ArG</t>
  </si>
  <si>
    <t>Die Alterskinderrente beträgt ab dem ordentlichen AHV-Alter 20% der Altersrente, ab 2012 berechnet sie sich gemäss BVG. Bei vorzeitiger Pensionierung berechnet sich die Alterskinderrente gemäss BVG.</t>
  </si>
  <si>
    <t>100% (Zustimmung Partner)</t>
  </si>
  <si>
    <t>A.1</t>
  </si>
  <si>
    <t>A.2</t>
  </si>
  <si>
    <t>A.3</t>
  </si>
  <si>
    <t>A.4</t>
  </si>
  <si>
    <t>A.5</t>
  </si>
  <si>
    <t>A.6</t>
  </si>
  <si>
    <t>A.7</t>
  </si>
  <si>
    <t>A.8</t>
  </si>
  <si>
    <t>B.1</t>
  </si>
  <si>
    <t>B.2</t>
  </si>
  <si>
    <t>B.3</t>
  </si>
  <si>
    <t>B.4</t>
  </si>
  <si>
    <t>C.1</t>
  </si>
  <si>
    <t>C.2</t>
  </si>
  <si>
    <t>C.3</t>
  </si>
  <si>
    <t>C.4</t>
  </si>
  <si>
    <t>C.5</t>
  </si>
  <si>
    <t>C.6</t>
  </si>
  <si>
    <t>D.1</t>
  </si>
  <si>
    <t>E.1</t>
  </si>
  <si>
    <t>E.2</t>
  </si>
  <si>
    <t>E.3</t>
  </si>
  <si>
    <t>F.1</t>
  </si>
  <si>
    <t>F.2</t>
  </si>
  <si>
    <r>
      <t xml:space="preserve">Verbindlich sind nur die offiziellen Berechnungen durch die </t>
    </r>
    <r>
      <rPr>
        <b/>
        <sz val="10"/>
        <rFont val="Arial"/>
        <family val="2"/>
      </rPr>
      <t>PAT</t>
    </r>
    <r>
      <rPr>
        <sz val="10"/>
        <rFont val="Arial"/>
        <family val="2"/>
      </rPr>
      <t>-</t>
    </r>
    <r>
      <rPr>
        <b/>
        <sz val="10"/>
        <rFont val="Arial"/>
        <family val="2"/>
      </rPr>
      <t>BVG</t>
    </r>
    <r>
      <rPr>
        <sz val="10"/>
        <rFont val="Arial"/>
        <family val="2"/>
      </rPr>
      <t>.</t>
    </r>
  </si>
  <si>
    <t>Zusätzliches Todesfallkapital</t>
  </si>
  <si>
    <t>TK2 (Altersguthaben)</t>
  </si>
  <si>
    <t>Zusätzlich zu den Hinterlassenenrenten wird das angesammelte Altersguthaben ausbezahlt.</t>
  </si>
  <si>
    <t>3.2</t>
  </si>
  <si>
    <t>Total Sparbeiträge</t>
  </si>
  <si>
    <t>Total Risikobeiträge</t>
  </si>
  <si>
    <t>AGU-Pläne</t>
  </si>
  <si>
    <t>1  Koordination BVG</t>
  </si>
  <si>
    <t>2  Koordination BVG, nach BS-Grad</t>
  </si>
  <si>
    <t>3  VL=80% AHV-Lohn</t>
  </si>
  <si>
    <t>4  VL = AHV-Lohn</t>
  </si>
  <si>
    <t>55-64/65</t>
  </si>
  <si>
    <t>Alterssparen</t>
  </si>
  <si>
    <t>66-70</t>
  </si>
  <si>
    <t>A1  7_10_15_18%</t>
  </si>
  <si>
    <t>A2  11_12_15_18%</t>
  </si>
  <si>
    <t>A3  16.5_16.5_16.5_18%</t>
  </si>
  <si>
    <t>TFK</t>
  </si>
  <si>
    <t>A4  20_20_20_20%</t>
  </si>
  <si>
    <t>A5  21_22_23_25%</t>
  </si>
  <si>
    <t>ZS1  2_2_2_0%</t>
  </si>
  <si>
    <t>ZS2  4_3_2_0%</t>
  </si>
  <si>
    <t>R1  IVR gemäss BVG berechnet</t>
  </si>
  <si>
    <t>R2  IVR in % des VL</t>
  </si>
  <si>
    <t>nur Sparen</t>
  </si>
  <si>
    <t>Plafond versicherter Lohn</t>
  </si>
  <si>
    <t>gemäss UVG</t>
  </si>
  <si>
    <t>gemäss BVG</t>
  </si>
  <si>
    <t>Krankentaggeldversicherung (Wartefrist IVR)</t>
  </si>
  <si>
    <t>50% von L</t>
  </si>
  <si>
    <t>100% von L</t>
  </si>
  <si>
    <t>150% von L</t>
  </si>
  <si>
    <t>200% von L</t>
  </si>
  <si>
    <t>Eintrittsschwelle gem. BVG</t>
  </si>
  <si>
    <t>SE mit BVG-Alter 50 oder älter</t>
  </si>
  <si>
    <t>kein SE</t>
  </si>
  <si>
    <t>unter 50</t>
  </si>
  <si>
    <t>50 oder älter</t>
  </si>
  <si>
    <t>gemäss Plan</t>
  </si>
  <si>
    <t>Höhe der Invalidenrente</t>
  </si>
  <si>
    <t>nicht in % L</t>
  </si>
  <si>
    <t>15% (L über 150'000)</t>
  </si>
  <si>
    <t>20% (L über 100'000)</t>
  </si>
  <si>
    <t>25% (L über 100'000)</t>
  </si>
  <si>
    <r>
      <t>10% (</t>
    </r>
    <r>
      <rPr>
        <b/>
        <sz val="8"/>
        <rFont val="Arial"/>
        <family val="2"/>
      </rPr>
      <t>L</t>
    </r>
    <r>
      <rPr>
        <sz val="8"/>
        <rFont val="Arial"/>
        <family val="2"/>
      </rPr>
      <t xml:space="preserve"> über 200'000)</t>
    </r>
  </si>
  <si>
    <t>"Umrechnung" REM / VT</t>
  </si>
  <si>
    <t>REM</t>
  </si>
  <si>
    <t>VT</t>
  </si>
  <si>
    <t>Zusätzlicher Sparbeitrag</t>
  </si>
  <si>
    <t>Bei Tod oder Invalidität vor dem ordentlichen AHV-Alter betragen die jährlichen Leistungen:</t>
  </si>
  <si>
    <t>Volle Invalidenrente</t>
  </si>
  <si>
    <t>Invaliden-Kinderrente</t>
  </si>
  <si>
    <t>Ehe- oder Lebenspartnerrente</t>
  </si>
  <si>
    <t>Der Anspruch auf Kinderrenten besteht bis Alter 20 bzw. Alter 25, wenn das Kind in Ausbildung ist.</t>
  </si>
  <si>
    <t xml:space="preserve"> Alter</t>
  </si>
  <si>
    <t>Sparbeitrag</t>
  </si>
  <si>
    <t>Risikobeitrag</t>
  </si>
  <si>
    <t>Anteil
 Arbeitnehmer</t>
  </si>
  <si>
    <t>Anteil
Arbeitgeber</t>
  </si>
  <si>
    <t>Beitrag</t>
  </si>
  <si>
    <t>BB</t>
  </si>
  <si>
    <t>25 - 34</t>
  </si>
  <si>
    <t>45 - 54</t>
  </si>
  <si>
    <t>F.3</t>
  </si>
  <si>
    <t>Offerte</t>
  </si>
  <si>
    <t>ja</t>
  </si>
  <si>
    <t>F.4</t>
  </si>
  <si>
    <t>RISIKOVORSORGE</t>
  </si>
  <si>
    <t>BERECHNUNG DES VERSICHERTEN EINKOMMENS</t>
  </si>
  <si>
    <t>ALTERSVORSORGE</t>
  </si>
  <si>
    <t>Total Beiträge*</t>
  </si>
  <si>
    <t>1.6</t>
  </si>
  <si>
    <t>Vorname / Name</t>
  </si>
  <si>
    <r>
      <t xml:space="preserve">Die Beiträge in </t>
    </r>
    <r>
      <rPr>
        <b/>
        <sz val="10"/>
        <rFont val="Arial"/>
        <family val="2"/>
      </rPr>
      <t>Prozent</t>
    </r>
    <r>
      <rPr>
        <sz val="10"/>
        <rFont val="Arial"/>
        <family val="2"/>
      </rPr>
      <t xml:space="preserve"> des versicherten Lohnes betragen für Frauen und Männer:</t>
    </r>
  </si>
  <si>
    <t>Plan-Nr.</t>
  </si>
  <si>
    <t>Rentenalter</t>
  </si>
  <si>
    <t>Offertdatum</t>
  </si>
  <si>
    <r>
      <t xml:space="preserve">Der Altersrücktritt ist zwischen den Altern </t>
    </r>
    <r>
      <rPr>
        <b/>
        <sz val="10"/>
        <rFont val="Arial"/>
        <family val="2"/>
      </rPr>
      <t>58 und 70</t>
    </r>
    <r>
      <rPr>
        <sz val="10"/>
        <rFont val="Arial"/>
        <family val="2"/>
      </rPr>
      <t xml:space="preserve"> möglich. Zur Berechnung der jährlichen Altersrente wird das vorhandene Altersguthaben und allfällige Zusatzguthaben aus Einzahlungen für den vorzeitigen Altersrücktritt mit einem Prozentsatz umgewandelt (Umwandlungssatz). Der volle oder teilweise Kapitalbezug anstelle der Altersrente ist möglich; die Anmeldefrist beträgt </t>
    </r>
    <r>
      <rPr>
        <b/>
        <sz val="10"/>
        <rFont val="Arial"/>
        <family val="2"/>
      </rPr>
      <t>3 Monate</t>
    </r>
    <r>
      <rPr>
        <sz val="10"/>
        <rFont val="Arial"/>
        <family val="2"/>
      </rPr>
      <t>.</t>
    </r>
  </si>
  <si>
    <t>Vers.</t>
  </si>
  <si>
    <t>LBI</t>
  </si>
  <si>
    <t>Pers.-Kr.</t>
  </si>
  <si>
    <t>IV</t>
  </si>
  <si>
    <t>Pers.-Kreis</t>
  </si>
  <si>
    <t>Modul</t>
  </si>
  <si>
    <t>Schwelle</t>
  </si>
  <si>
    <t>SE&lt;50</t>
  </si>
  <si>
    <t>10</t>
  </si>
  <si>
    <t>15</t>
  </si>
  <si>
    <t>20</t>
  </si>
  <si>
    <t>25</t>
  </si>
  <si>
    <t>30</t>
  </si>
  <si>
    <t>35</t>
  </si>
  <si>
    <t>40</t>
  </si>
  <si>
    <t>45</t>
  </si>
  <si>
    <t>50</t>
  </si>
  <si>
    <t>55</t>
  </si>
  <si>
    <t>60</t>
  </si>
  <si>
    <t>65</t>
  </si>
  <si>
    <t>70</t>
  </si>
  <si>
    <t>0</t>
  </si>
  <si>
    <t>100</t>
  </si>
  <si>
    <t>150</t>
  </si>
  <si>
    <t>200</t>
  </si>
  <si>
    <t>SE&gt;50_v</t>
  </si>
  <si>
    <t>SE&gt;50_n</t>
  </si>
  <si>
    <t>keine Eintrittsschwelle</t>
  </si>
  <si>
    <t>AGH</t>
  </si>
  <si>
    <t>alt</t>
  </si>
  <si>
    <t>neu (G6)</t>
  </si>
  <si>
    <t>neu neu (E6)</t>
  </si>
  <si>
    <t>U Plan:</t>
  </si>
  <si>
    <t>U LBI:</t>
  </si>
  <si>
    <t>U Plan in AE2:</t>
  </si>
  <si>
    <t>U Plan oder AF2:</t>
  </si>
  <si>
    <t>LBI &lt;&gt; 111</t>
  </si>
  <si>
    <t>U Plan = AF27</t>
  </si>
  <si>
    <t>Plan AF2 = AF27</t>
  </si>
  <si>
    <t>Rentenalter?</t>
  </si>
  <si>
    <t>= Personenkreis:</t>
  </si>
  <si>
    <t>(immer _)</t>
  </si>
  <si>
    <t>= Plannummer:</t>
  </si>
  <si>
    <t>Version 15.11.2012</t>
  </si>
  <si>
    <t>L5 fix ohne</t>
  </si>
  <si>
    <t>Auszahlung Altersguthaben</t>
  </si>
  <si>
    <t>Hans Hug</t>
  </si>
  <si>
    <t>die Beratungs AG</t>
  </si>
  <si>
    <t xml:space="preserve">  (leer = 2%)</t>
  </si>
  <si>
    <t>Plannummer</t>
  </si>
  <si>
    <t>Wartefrist 360 Tage</t>
  </si>
  <si>
    <t>Wartefrist 720 Tage</t>
  </si>
  <si>
    <t>TK in % versicherter Lohn</t>
  </si>
  <si>
    <t>TK Altersguthaben</t>
  </si>
  <si>
    <t>kein Todesfallkapital</t>
  </si>
  <si>
    <t>Bb gemäss BVG</t>
  </si>
  <si>
    <t>Bb gemäss Plan</t>
  </si>
  <si>
    <t>(immer Null)</t>
  </si>
  <si>
    <t>SE 50+</t>
  </si>
  <si>
    <t>AN oder SE –50</t>
  </si>
  <si>
    <t>immer _</t>
  </si>
  <si>
    <t>R1/720 Tage</t>
  </si>
  <si>
    <t>R2/720 Tage</t>
  </si>
  <si>
    <t>R1/360 Tage</t>
  </si>
  <si>
    <t>R2/360 Tage</t>
  </si>
  <si>
    <t>R2 (in % versicherter Lohn)</t>
  </si>
  <si>
    <t>Decodierung Plannummer / Personenkreis</t>
  </si>
  <si>
    <t>Plannummer:</t>
  </si>
  <si>
    <t>Personenkreis:</t>
  </si>
  <si>
    <t>ohne Zusatzsparen</t>
  </si>
  <si>
    <t>durch 12</t>
  </si>
  <si>
    <t>Altersgruppe</t>
  </si>
  <si>
    <t>Arbeitnehmer</t>
  </si>
  <si>
    <t>Arbeitgeber</t>
  </si>
  <si>
    <t>Input</t>
  </si>
  <si>
    <t>Projektionszinssatz (laufend: 1,5%)</t>
  </si>
  <si>
    <t>[AHV-Nummer]</t>
  </si>
  <si>
    <t>[Adresse]</t>
  </si>
  <si>
    <t>Muster</t>
  </si>
  <si>
    <t>fix:</t>
  </si>
  <si>
    <t>Altersrentner</t>
  </si>
  <si>
    <t>durch 24</t>
  </si>
  <si>
    <t>Risiko</t>
  </si>
  <si>
    <t>S</t>
  </si>
  <si>
    <t>V</t>
  </si>
  <si>
    <t>T</t>
  </si>
  <si>
    <t/>
  </si>
  <si>
    <t>Jahr</t>
  </si>
  <si>
    <t>&gt;=70?</t>
  </si>
  <si>
    <t>1=ja</t>
  </si>
  <si>
    <t>Sparalter</t>
  </si>
  <si>
    <t>18 - 19</t>
  </si>
  <si>
    <t>Anita</t>
  </si>
  <si>
    <t>Muster,Anita</t>
  </si>
  <si>
    <t>F / 16.05.1986</t>
  </si>
  <si>
    <t>1060 / 12011001 / 553 / 50 / [100] / 25</t>
  </si>
  <si>
    <t>Beginn</t>
  </si>
  <si>
    <t>18-19</t>
  </si>
  <si>
    <t>20-24</t>
  </si>
  <si>
    <t>1 = ab 18, 2 = ab 20, 3 = ab 25</t>
  </si>
  <si>
    <t>ACHTUNG Reihenfolge!</t>
  </si>
  <si>
    <t>ACHTUNG ZS:</t>
  </si>
  <si>
    <t>Module für Archiv</t>
  </si>
  <si>
    <t>Reihenfolge!</t>
  </si>
  <si>
    <t>alles BVG:</t>
  </si>
  <si>
    <t>Alle Jahresbeiträge sind so gerundet, dass sie durch 12 teilbar sind.</t>
  </si>
  <si>
    <t>A6 (8/11/16/19%)</t>
  </si>
  <si>
    <t>A7 (9/12/17/20%)</t>
  </si>
  <si>
    <t>A8 (5/7/10/12%)</t>
  </si>
  <si>
    <t>A9 (6/8/11/13%)</t>
  </si>
  <si>
    <t>a) den Sparbeiträgen gemäss dem gewählten Modul A6;</t>
  </si>
  <si>
    <t>a) den Sparbeiträgen gemäss dem gewählten Modul A7;</t>
  </si>
  <si>
    <t>a) den Sparbeiträgen gemäss dem gewählten Modul A8;</t>
  </si>
  <si>
    <t>a) den Sparbeiträgen gemäss dem gewählten Modul A9;</t>
  </si>
  <si>
    <t>A6</t>
  </si>
  <si>
    <t>A7</t>
  </si>
  <si>
    <t>A8</t>
  </si>
  <si>
    <t>A9</t>
  </si>
  <si>
    <t>A6  8_11_16_19%</t>
  </si>
  <si>
    <t>A7  9_12_17_20%</t>
  </si>
  <si>
    <t>A8  5_7_10_12%</t>
  </si>
  <si>
    <t>A9  6_8_11_13%</t>
  </si>
  <si>
    <t>* Zusätzlich zu obigen Beiträgen wird eine Verwaltungskostenpauschale von total CHF 192 erhoben.</t>
  </si>
  <si>
    <t>BbA6</t>
  </si>
  <si>
    <t>BbA7</t>
  </si>
  <si>
    <t>BbA8</t>
  </si>
  <si>
    <t>BbA9</t>
  </si>
  <si>
    <t>BVG-Eintrittsschwelle (bei L2)</t>
  </si>
  <si>
    <t>SIFO-Grenze</t>
  </si>
  <si>
    <t>300% AHV-max</t>
  </si>
  <si>
    <t>gemäss SIFO</t>
  </si>
  <si>
    <t>300% AHVmax</t>
  </si>
  <si>
    <t>Reserve</t>
  </si>
  <si>
    <t>SIFO</t>
  </si>
  <si>
    <t>AHVmax</t>
  </si>
  <si>
    <t>SIFO-Maximum</t>
  </si>
  <si>
    <t>$</t>
  </si>
  <si>
    <t>Es besteht gemäss Wahl keine Eintrittsschwelle.</t>
  </si>
  <si>
    <t xml:space="preserve">LBI </t>
  </si>
  <si>
    <t>Ermittlung versicherter Lohn bei L2/L5</t>
  </si>
  <si>
    <t>LG</t>
  </si>
  <si>
    <t>BGR</t>
  </si>
  <si>
    <t>Übersetzungen</t>
  </si>
  <si>
    <t xml:space="preserve">Beiträge </t>
  </si>
  <si>
    <t xml:space="preserve">Contributi </t>
  </si>
  <si>
    <t>Exemple selon le détail des cotisations</t>
  </si>
  <si>
    <t>Esempio secondo il dettaglio dei contributi</t>
  </si>
  <si>
    <t>Rossi,Giovanna</t>
  </si>
  <si>
    <t>Dupont,Claire</t>
  </si>
  <si>
    <t>[Numéro AVS]</t>
  </si>
  <si>
    <t>[Numero AVS]</t>
  </si>
  <si>
    <t>[Indirizzo]</t>
  </si>
  <si>
    <t>Nom</t>
  </si>
  <si>
    <t>Prénom</t>
  </si>
  <si>
    <t>Cognome</t>
  </si>
  <si>
    <t>Nome</t>
  </si>
  <si>
    <t>Dupont</t>
  </si>
  <si>
    <t>Claire</t>
  </si>
  <si>
    <t>Rossi</t>
  </si>
  <si>
    <t>Giovanna</t>
  </si>
  <si>
    <t>Sexe</t>
  </si>
  <si>
    <t>Date de naissance</t>
  </si>
  <si>
    <t>Sesso</t>
  </si>
  <si>
    <t>Data di nascita</t>
  </si>
  <si>
    <t>Cercle de pers.</t>
  </si>
  <si>
    <t>Numéro de plan</t>
  </si>
  <si>
    <t>LBI (indice sal.)</t>
  </si>
  <si>
    <t>IV-Rente (%)</t>
  </si>
  <si>
    <t>Invalidité (%)</t>
  </si>
  <si>
    <t>Âge épargne</t>
  </si>
  <si>
    <t>Deutsch</t>
  </si>
  <si>
    <t>Französisch</t>
  </si>
  <si>
    <t>Italienisch</t>
  </si>
  <si>
    <t>Part employeur (%)</t>
  </si>
  <si>
    <t>Pensum (%)</t>
  </si>
  <si>
    <t xml:space="preserve"> noch nicht BVG-pflichtig!</t>
  </si>
  <si>
    <t xml:space="preserve"> ab 70 keine Beitragspflicht mehr</t>
  </si>
  <si>
    <t>TK (%)</t>
  </si>
  <si>
    <t>Cap. décès (%)</t>
  </si>
  <si>
    <t>Degré occ. (%)</t>
  </si>
  <si>
    <t xml:space="preserve"> pas encore soumis à l'obligation de cotiser!</t>
  </si>
  <si>
    <t xml:space="preserve"> après 70 ans, plus d'obligation de cotiser</t>
  </si>
  <si>
    <t>Revenu assuré (frs/an):</t>
  </si>
  <si>
    <t>Cotisations (frs/an):</t>
  </si>
  <si>
    <t>Employeur</t>
  </si>
  <si>
    <t>Employé</t>
  </si>
  <si>
    <t>Cot. Épargne</t>
  </si>
  <si>
    <t>Cot. Risque</t>
  </si>
  <si>
    <t>Frais d'administration</t>
  </si>
  <si>
    <t>Cotisations (frs/mois):</t>
  </si>
  <si>
    <t>Les cotisations annuelles sont arrondies pour pouvoir être divisées par 12.</t>
  </si>
  <si>
    <t>Cerchio</t>
  </si>
  <si>
    <t>Numero piano</t>
  </si>
  <si>
    <t>Indice salario</t>
  </si>
  <si>
    <t>Invalidità (%)</t>
  </si>
  <si>
    <t>Età risparmio</t>
  </si>
  <si>
    <t>Parte datore di lavoro (%)</t>
  </si>
  <si>
    <t>Grado occ. (%)</t>
  </si>
  <si>
    <t xml:space="preserve"> non ancora soggetto all'obbligo di contribuzione!</t>
  </si>
  <si>
    <t xml:space="preserve"> dopo i 70 non più tenuto a pagare </t>
  </si>
  <si>
    <t>Cap. dec. (%)</t>
  </si>
  <si>
    <t>Reddito assicurato (fr./anno)</t>
  </si>
  <si>
    <t>Contributi (fr./anno):</t>
  </si>
  <si>
    <t>Datore di lavoro</t>
  </si>
  <si>
    <t>Dipendente</t>
  </si>
  <si>
    <t>Totale</t>
  </si>
  <si>
    <t>Contr. risparmio</t>
  </si>
  <si>
    <t>Contr. rischio</t>
  </si>
  <si>
    <t>Costi amministrativi</t>
  </si>
  <si>
    <t>Contributi (fr./mese):</t>
  </si>
  <si>
    <t>Tutti i contributi annuali sono arrotondati in modo da essere divisibili per 12.</t>
  </si>
  <si>
    <t xml:space="preserve">Cotisations </t>
  </si>
  <si>
    <t xml:space="preserve"> (Fr.)</t>
  </si>
  <si>
    <t xml:space="preserve"> (frs)</t>
  </si>
  <si>
    <t xml:space="preserve"> (fr.)</t>
  </si>
  <si>
    <t>Mögliche PKR</t>
  </si>
  <si>
    <t>Wahlplan 1</t>
  </si>
  <si>
    <t>Wahlplan 2</t>
  </si>
  <si>
    <t>Wahlpläne</t>
  </si>
  <si>
    <t>Code für Selektion Spalte:</t>
  </si>
  <si>
    <t>Wahlpläne - Sparbeitrag Arbeitgeber</t>
  </si>
  <si>
    <t>Wahlpläne - Tarif Beitragsbefreiung</t>
  </si>
  <si>
    <t>Faktor Versicherungsprinzip:</t>
  </si>
  <si>
    <t>relevant für Berechn.</t>
  </si>
  <si>
    <t>A11</t>
  </si>
  <si>
    <t>A12</t>
  </si>
  <si>
    <t>Zusatzbeiträge bis 4%</t>
  </si>
  <si>
    <t>gemäss SIFO ./. KA (103'965 Fr.)</t>
  </si>
  <si>
    <t>SIFO-KA</t>
  </si>
  <si>
    <t>200% UVGmax (296'400 Fr.)</t>
  </si>
  <si>
    <t>200%UVG</t>
  </si>
  <si>
    <t xml:space="preserve">Jahreslohn </t>
  </si>
  <si>
    <t>Salaire annuel</t>
  </si>
  <si>
    <t xml:space="preserve">Salario annuale </t>
  </si>
  <si>
    <t>35-39</t>
  </si>
  <si>
    <t>40-44</t>
  </si>
  <si>
    <t>55-61</t>
  </si>
  <si>
    <t>62-65</t>
  </si>
  <si>
    <t>35 - 39</t>
  </si>
  <si>
    <t>40 - 44</t>
  </si>
  <si>
    <t>55 - 61</t>
  </si>
  <si>
    <t>62 - 65</t>
  </si>
  <si>
    <t>66 - 70</t>
  </si>
  <si>
    <t>95% des Tarifs</t>
  </si>
  <si>
    <t>75% des Tarifs</t>
  </si>
  <si>
    <t>100% des Tarifs</t>
  </si>
  <si>
    <t>Original in Zelle M26:</t>
  </si>
  <si>
    <t>=(ABRUNDEN((L26/24)/5;2)*5)*24</t>
  </si>
  <si>
    <t>Berechnungen ohne Gewähr. Es können Rundungsdifferenzen entstehen. Massgebend ist das Vorsorgereglement.</t>
  </si>
  <si>
    <t>Calcul sans garantie. Des différences d'arrondi peuvent survenir. Le règlement de prévoyance est déterminant.</t>
  </si>
  <si>
    <t>Calcoli senza garanzia. Possono verificarsi differenze di arrotondamento. Determinante è il regolamento di previdenza.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</si>
</sst>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numFmt numFmtId="165" formatCode="0.0%"/>
    <numFmt numFmtId="166" formatCode="dd/mm/yyyy;@"/>
    <numFmt numFmtId="167" formatCode="d/m/yyyy"/>
    <numFmt numFmtId="168" formatCode="_ * #,##0.00_ ;_ * \-#,##0.00_ ;_ * &quot;-&quot;??_ ;_ @_ \ \ \ \ \ \ \ \ \ \ "/>
    <numFmt numFmtId="169" formatCode="0.00\ \ \ \ \ \ \ \ \ \ \ "/>
    <numFmt numFmtId="170" formatCode="0.000"/>
    <numFmt numFmtId="171" formatCode="0.000%"/>
  </numFmts>
  <fonts count="93" x14ac:knownFonts="1">
    <font>
      <sz val="10"/>
      <name val="Arial"/>
    </font>
    <font>
      <sz val="10"/>
      <name val="Arial"/>
      <family val="2"/>
    </font>
    <font>
      <sz val="8"/>
      <name val="Arial"/>
      <family val="2"/>
    </font>
    <font>
      <b/>
      <sz val="10"/>
      <name val="Arial"/>
      <family val="2"/>
    </font>
    <font>
      <b/>
      <sz val="11"/>
      <name val="Arial"/>
      <family val="2"/>
    </font>
    <font>
      <sz val="11"/>
      <name val="Arial"/>
      <family val="2"/>
    </font>
    <font>
      <b/>
      <sz val="14"/>
      <name val="Arial"/>
      <family val="2"/>
    </font>
    <font>
      <sz val="8"/>
      <name val="Arial"/>
      <family val="2"/>
    </font>
    <font>
      <sz val="11"/>
      <name val="Arial"/>
      <family val="2"/>
    </font>
    <font>
      <sz val="10"/>
      <name val="Arial"/>
      <family val="2"/>
    </font>
    <font>
      <sz val="10"/>
      <color indexed="9"/>
      <name val="Arial"/>
      <family val="2"/>
    </font>
    <font>
      <vertAlign val="superscript"/>
      <sz val="10"/>
      <name val="Arial"/>
      <family val="2"/>
    </font>
    <font>
      <b/>
      <sz val="9"/>
      <name val="Arial"/>
      <family val="2"/>
    </font>
    <font>
      <b/>
      <sz val="8.5"/>
      <name val="Arial"/>
      <family val="2"/>
    </font>
    <font>
      <sz val="8.5"/>
      <name val="Arial"/>
      <family val="2"/>
    </font>
    <font>
      <i/>
      <sz val="10"/>
      <name val="Arial"/>
      <family val="2"/>
    </font>
    <font>
      <sz val="8.5"/>
      <name val="Arial"/>
      <family val="2"/>
    </font>
    <font>
      <i/>
      <sz val="8.5"/>
      <name val="Arial"/>
      <family val="2"/>
    </font>
    <font>
      <sz val="14"/>
      <color indexed="18"/>
      <name val="Arial"/>
      <family val="2"/>
    </font>
    <font>
      <b/>
      <sz val="14"/>
      <color indexed="18"/>
      <name val="Arial"/>
      <family val="2"/>
    </font>
    <font>
      <sz val="10"/>
      <color indexed="18"/>
      <name val="Arial"/>
      <family val="2"/>
    </font>
    <font>
      <b/>
      <sz val="10"/>
      <color indexed="18"/>
      <name val="Arial"/>
      <family val="2"/>
    </font>
    <font>
      <sz val="8.5"/>
      <color indexed="10"/>
      <name val="Arial"/>
      <family val="2"/>
    </font>
    <font>
      <b/>
      <sz val="8"/>
      <name val="Arial"/>
      <family val="2"/>
    </font>
    <font>
      <sz val="10"/>
      <color indexed="10"/>
      <name val="Arial"/>
      <family val="2"/>
    </font>
    <font>
      <b/>
      <sz val="10"/>
      <color indexed="10"/>
      <name val="Arial"/>
      <family val="2"/>
    </font>
    <font>
      <b/>
      <sz val="12"/>
      <name val="Arial"/>
      <family val="2"/>
    </font>
    <font>
      <sz val="10"/>
      <color indexed="57"/>
      <name val="Arial"/>
      <family val="2"/>
    </font>
    <font>
      <sz val="5"/>
      <name val="Arial"/>
      <family val="2"/>
    </font>
    <font>
      <b/>
      <sz val="6.5"/>
      <name val="Arial"/>
      <family val="2"/>
    </font>
    <font>
      <sz val="6.5"/>
      <name val="Arial"/>
      <family val="2"/>
    </font>
    <font>
      <b/>
      <sz val="9.5"/>
      <name val="Arial"/>
      <family val="2"/>
    </font>
    <font>
      <sz val="9.5"/>
      <name val="Arial"/>
      <family val="2"/>
    </font>
    <font>
      <sz val="14"/>
      <name val="Arial"/>
      <family val="2"/>
    </font>
    <font>
      <sz val="8.5"/>
      <color indexed="9"/>
      <name val="Arial"/>
      <family val="2"/>
    </font>
    <font>
      <b/>
      <sz val="14"/>
      <color indexed="63"/>
      <name val="Arial"/>
      <family val="2"/>
    </font>
    <font>
      <b/>
      <sz val="8.5"/>
      <name val="Arial"/>
      <family val="2"/>
    </font>
    <font>
      <sz val="9.5"/>
      <color indexed="62"/>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color indexed="10"/>
      <name val="Arial"/>
      <family val="2"/>
    </font>
    <font>
      <b/>
      <sz val="10"/>
      <color indexed="62"/>
      <name val="Arial"/>
      <family val="2"/>
    </font>
    <font>
      <sz val="9"/>
      <name val="Arial"/>
      <family val="2"/>
    </font>
    <font>
      <sz val="12"/>
      <name val="Arial"/>
      <family val="2"/>
    </font>
    <font>
      <sz val="11"/>
      <color indexed="63"/>
      <name val="Arial"/>
      <family val="2"/>
    </font>
    <font>
      <sz val="10"/>
      <color indexed="62"/>
      <name val="Arial"/>
      <family val="2"/>
    </font>
    <font>
      <i/>
      <sz val="10"/>
      <color indexed="62"/>
      <name val="Arial"/>
      <family val="2"/>
    </font>
    <font>
      <b/>
      <sz val="12"/>
      <color indexed="62"/>
      <name val="Arial"/>
      <family val="2"/>
    </font>
    <font>
      <sz val="12"/>
      <color indexed="62"/>
      <name val="Arial"/>
      <family val="2"/>
    </font>
    <font>
      <i/>
      <sz val="8.5"/>
      <name val="Arial"/>
      <family val="2"/>
    </font>
    <font>
      <b/>
      <i/>
      <sz val="8.5"/>
      <name val="Arial"/>
      <family val="2"/>
    </font>
    <font>
      <sz val="8.5"/>
      <color indexed="63"/>
      <name val="Arial"/>
      <family val="2"/>
    </font>
    <font>
      <b/>
      <sz val="8"/>
      <color indexed="10"/>
      <name val="Arial"/>
      <family val="2"/>
    </font>
    <font>
      <b/>
      <i/>
      <sz val="9.5"/>
      <name val="Arial"/>
      <family val="2"/>
    </font>
    <font>
      <b/>
      <i/>
      <sz val="10"/>
      <name val="Arial"/>
      <family val="2"/>
    </font>
    <font>
      <b/>
      <sz val="8.5"/>
      <color indexed="10"/>
      <name val="Arial"/>
      <family val="2"/>
    </font>
    <font>
      <sz val="10"/>
      <color indexed="22"/>
      <name val="Arial"/>
      <family val="2"/>
    </font>
    <font>
      <sz val="10"/>
      <color indexed="22"/>
      <name val="Arial"/>
      <family val="2"/>
    </font>
    <font>
      <i/>
      <sz val="10"/>
      <color indexed="10"/>
      <name val="Arial"/>
      <family val="2"/>
    </font>
    <font>
      <sz val="4"/>
      <name val="Arial"/>
      <family val="2"/>
    </font>
    <font>
      <b/>
      <sz val="10"/>
      <color indexed="9"/>
      <name val="Arial"/>
      <family val="2"/>
    </font>
    <font>
      <b/>
      <sz val="8.5"/>
      <color indexed="9"/>
      <name val="Arial"/>
      <family val="2"/>
    </font>
    <font>
      <sz val="10"/>
      <color indexed="10"/>
      <name val="Arial"/>
      <family val="2"/>
    </font>
    <font>
      <i/>
      <sz val="6"/>
      <color indexed="10"/>
      <name val="Arial"/>
      <family val="2"/>
    </font>
    <font>
      <sz val="7"/>
      <name val="Arial"/>
      <family val="2"/>
    </font>
    <font>
      <b/>
      <sz val="7"/>
      <name val="Arial"/>
      <family val="2"/>
    </font>
    <font>
      <b/>
      <sz val="16"/>
      <name val="Arial"/>
      <family val="2"/>
    </font>
    <font>
      <b/>
      <sz val="10"/>
      <color indexed="13"/>
      <name val="Arial"/>
      <family val="2"/>
    </font>
    <font>
      <sz val="10"/>
      <color indexed="13"/>
      <name val="Arial"/>
      <family val="2"/>
    </font>
    <font>
      <b/>
      <sz val="20"/>
      <name val="Arial"/>
      <family val="2"/>
    </font>
    <font>
      <sz val="10"/>
      <name val="Arial"/>
      <family val="2"/>
    </font>
    <font>
      <sz val="10"/>
      <color theme="5"/>
      <name val="Arial"/>
      <family val="2"/>
    </font>
    <font>
      <b/>
      <sz val="10"/>
      <color theme="5"/>
      <name val="Arial"/>
      <family val="2"/>
    </font>
    <font>
      <sz val="8"/>
      <color theme="0"/>
      <name val="Arial"/>
      <family val="2"/>
    </font>
    <font>
      <sz val="10"/>
      <name val="Arial"/>
    </font>
    <font>
      <sz val="10"/>
      <color theme="0" tint="-0.14999847407452621"/>
      <name val="Arial"/>
      <family val="2"/>
    </font>
    <font>
      <sz val="9"/>
      <color indexed="81"/>
      <name val="Segoe UI"/>
      <charset val="1"/>
    </font>
    <font>
      <b/>
      <sz val="9"/>
      <color indexed="81"/>
      <name val="Segoe UI"/>
      <charset val="1"/>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4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indexed="53"/>
        <bgColor indexed="64"/>
      </patternFill>
    </fill>
    <fill>
      <patternFill patternType="solid">
        <fgColor indexed="62"/>
        <bgColor indexed="64"/>
      </patternFill>
    </fill>
    <fill>
      <patternFill patternType="solid">
        <fgColor indexed="45"/>
        <bgColor indexed="64"/>
      </patternFill>
    </fill>
    <fill>
      <patternFill patternType="solid">
        <fgColor indexed="22"/>
        <bgColor indexed="44"/>
      </patternFill>
    </fill>
    <fill>
      <patternFill patternType="solid">
        <fgColor indexed="16"/>
        <bgColor indexed="64"/>
      </patternFill>
    </fill>
    <fill>
      <patternFill patternType="solid">
        <fgColor indexed="65"/>
        <bgColor indexed="44"/>
      </patternFill>
    </fill>
    <fill>
      <patternFill patternType="solid">
        <fgColor indexed="48"/>
        <bgColor indexed="64"/>
      </patternFill>
    </fill>
    <fill>
      <patternFill patternType="solid">
        <fgColor indexed="10"/>
        <bgColor indexed="64"/>
      </patternFill>
    </fill>
    <fill>
      <patternFill patternType="solid">
        <fgColor indexed="12"/>
        <bgColor indexed="64"/>
      </patternFill>
    </fill>
    <fill>
      <patternFill patternType="solid">
        <fgColor indexed="19"/>
        <bgColor indexed="64"/>
      </patternFill>
    </fill>
    <fill>
      <patternFill patternType="solid">
        <fgColor rgb="FFC9E8EB"/>
        <bgColor indexed="64"/>
      </patternFill>
    </fill>
    <fill>
      <patternFill patternType="solid">
        <fgColor rgb="FFFFF3C5"/>
        <bgColor indexed="64"/>
      </patternFill>
    </fill>
    <fill>
      <patternFill patternType="solid">
        <fgColor theme="4" tint="0.59999389629810485"/>
        <bgColor indexed="64"/>
      </patternFill>
    </fill>
    <fill>
      <patternFill patternType="solid">
        <fgColor theme="9" tint="0.79998168889431442"/>
        <bgColor indexed="64"/>
      </patternFill>
    </fill>
  </fills>
  <borders count="4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ck">
        <color indexed="57"/>
      </left>
      <right/>
      <top style="thick">
        <color indexed="57"/>
      </top>
      <bottom style="thick">
        <color indexed="57"/>
      </bottom>
      <diagonal/>
    </border>
    <border>
      <left style="thick">
        <color indexed="9"/>
      </left>
      <right/>
      <top/>
      <bottom/>
      <diagonal/>
    </border>
    <border>
      <left/>
      <right/>
      <top style="thick">
        <color indexed="9"/>
      </top>
      <bottom/>
      <diagonal/>
    </border>
    <border>
      <left style="thick">
        <color indexed="9"/>
      </left>
      <right/>
      <top style="thick">
        <color indexed="9"/>
      </top>
      <bottom/>
      <diagonal/>
    </border>
    <border>
      <left style="thick">
        <color indexed="9"/>
      </left>
      <right/>
      <top/>
      <bottom style="thick">
        <color indexed="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45">
    <xf numFmtId="0" fontId="0" fillId="0" borderId="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9" borderId="0" applyNumberFormat="0" applyBorder="0" applyAlignment="0" applyProtection="0"/>
    <xf numFmtId="0" fontId="40" fillId="20" borderId="1" applyNumberFormat="0" applyAlignment="0" applyProtection="0"/>
    <xf numFmtId="0" fontId="41" fillId="20" borderId="2" applyNumberFormat="0" applyAlignment="0" applyProtection="0"/>
    <xf numFmtId="0" fontId="42" fillId="7" borderId="2" applyNumberFormat="0" applyAlignment="0" applyProtection="0"/>
    <xf numFmtId="0" fontId="43" fillId="0" borderId="3"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46" fillId="21" borderId="0" applyNumberFormat="0" applyBorder="0" applyAlignment="0" applyProtection="0"/>
    <xf numFmtId="0" fontId="9" fillId="22" borderId="4" applyNumberFormat="0" applyFont="0" applyAlignment="0" applyProtection="0"/>
    <xf numFmtId="0" fontId="47" fillId="3" borderId="0" applyNumberFormat="0" applyBorder="0" applyAlignment="0" applyProtection="0"/>
    <xf numFmtId="0" fontId="8" fillId="0" borderId="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1" fillId="0" borderId="7" applyNumberFormat="0" applyFill="0" applyAlignment="0" applyProtection="0"/>
    <xf numFmtId="0" fontId="51" fillId="0" borderId="0" applyNumberFormat="0" applyFill="0" applyBorder="0" applyAlignment="0" applyProtection="0"/>
    <xf numFmtId="0" fontId="52" fillId="0" borderId="8" applyNumberFormat="0" applyFill="0" applyAlignment="0" applyProtection="0"/>
    <xf numFmtId="0" fontId="53" fillId="0" borderId="0" applyNumberFormat="0" applyFill="0" applyBorder="0" applyAlignment="0" applyProtection="0"/>
    <xf numFmtId="0" fontId="54" fillId="23" borderId="9" applyNumberFormat="0" applyAlignment="0" applyProtection="0"/>
    <xf numFmtId="9" fontId="1" fillId="0" borderId="0" applyFont="0" applyFill="0" applyBorder="0" applyAlignment="0" applyProtection="0"/>
    <xf numFmtId="43" fontId="89" fillId="0" borderId="0" applyFont="0" applyFill="0" applyBorder="0" applyAlignment="0" applyProtection="0"/>
  </cellStyleXfs>
  <cellXfs count="738">
    <xf numFmtId="0" fontId="0" fillId="0" borderId="0" xfId="0"/>
    <xf numFmtId="0" fontId="0" fillId="0" borderId="0" xfId="0" applyAlignment="1">
      <alignment vertical="center"/>
    </xf>
    <xf numFmtId="0" fontId="0" fillId="24" borderId="0" xfId="0" applyFill="1" applyAlignment="1">
      <alignment vertical="center"/>
    </xf>
    <xf numFmtId="0" fontId="0" fillId="0" borderId="0" xfId="0" applyAlignment="1">
      <alignment horizontal="center" vertical="center"/>
    </xf>
    <xf numFmtId="0" fontId="4" fillId="0" borderId="0" xfId="0" applyFont="1" applyFill="1" applyAlignment="1">
      <alignment vertical="center"/>
    </xf>
    <xf numFmtId="3" fontId="0" fillId="0" borderId="0" xfId="0" applyNumberFormat="1" applyAlignment="1">
      <alignment horizontal="center" vertical="center"/>
    </xf>
    <xf numFmtId="3" fontId="0" fillId="0" borderId="0" xfId="0" applyNumberFormat="1" applyFill="1" applyAlignment="1">
      <alignment horizontal="center" vertical="center"/>
    </xf>
    <xf numFmtId="0" fontId="3" fillId="0" borderId="0" xfId="0" applyFont="1" applyFill="1" applyAlignment="1">
      <alignment horizontal="center" vertical="center"/>
    </xf>
    <xf numFmtId="0" fontId="3" fillId="25" borderId="0" xfId="0" applyFont="1" applyFill="1" applyAlignment="1">
      <alignment horizontal="center" vertical="center"/>
    </xf>
    <xf numFmtId="0" fontId="3" fillId="26" borderId="0" xfId="0" applyFont="1" applyFill="1" applyAlignment="1">
      <alignment horizontal="center" vertical="center"/>
    </xf>
    <xf numFmtId="0" fontId="3" fillId="27" borderId="0" xfId="0" applyFont="1" applyFill="1" applyAlignment="1">
      <alignment horizontal="center" vertical="center"/>
    </xf>
    <xf numFmtId="0" fontId="3" fillId="28" borderId="0" xfId="0" applyFont="1" applyFill="1" applyAlignment="1">
      <alignment horizontal="center" vertical="center"/>
    </xf>
    <xf numFmtId="0" fontId="3" fillId="0" borderId="0" xfId="0" applyFont="1" applyAlignment="1">
      <alignment horizontal="center" vertical="center"/>
    </xf>
    <xf numFmtId="0" fontId="0" fillId="0" borderId="0" xfId="0" quotePrefix="1" applyFill="1" applyAlignment="1">
      <alignment horizontal="center" vertical="center"/>
    </xf>
    <xf numFmtId="0" fontId="0" fillId="25" borderId="0" xfId="0" applyFill="1" applyAlignment="1">
      <alignment horizontal="center" vertical="center"/>
    </xf>
    <xf numFmtId="0" fontId="0" fillId="26" borderId="0" xfId="0" applyFill="1" applyAlignment="1">
      <alignment horizontal="center" vertical="center"/>
    </xf>
    <xf numFmtId="0" fontId="0" fillId="28" borderId="0" xfId="0" applyFill="1" applyAlignment="1">
      <alignment horizontal="center" vertical="center"/>
    </xf>
    <xf numFmtId="0" fontId="0" fillId="0" borderId="0" xfId="0" applyFill="1" applyAlignment="1">
      <alignment vertical="center"/>
    </xf>
    <xf numFmtId="0" fontId="7" fillId="0" borderId="0" xfId="0" applyFont="1" applyFill="1" applyAlignment="1">
      <alignment horizontal="center" vertical="center"/>
    </xf>
    <xf numFmtId="0" fontId="3" fillId="29" borderId="0" xfId="0" applyFont="1" applyFill="1" applyAlignment="1">
      <alignment horizontal="center" vertical="center"/>
    </xf>
    <xf numFmtId="0" fontId="0" fillId="29" borderId="0" xfId="0" applyFill="1" applyAlignment="1">
      <alignment horizontal="center" vertical="center"/>
    </xf>
    <xf numFmtId="0" fontId="9" fillId="0" borderId="0" xfId="0" applyFont="1" applyAlignment="1">
      <alignment vertical="center"/>
    </xf>
    <xf numFmtId="0" fontId="0" fillId="0" borderId="0" xfId="0" applyFill="1"/>
    <xf numFmtId="0" fontId="3" fillId="0" borderId="0" xfId="0" applyFont="1" applyFill="1"/>
    <xf numFmtId="0" fontId="12" fillId="0" borderId="0" xfId="0" applyFont="1" applyFill="1" applyAlignment="1">
      <alignment horizontal="center" vertical="center"/>
    </xf>
    <xf numFmtId="0" fontId="12" fillId="0" borderId="0" xfId="0" applyFont="1" applyAlignment="1">
      <alignment horizontal="center" vertical="center"/>
    </xf>
    <xf numFmtId="3" fontId="13" fillId="24" borderId="0" xfId="0" applyNumberFormat="1" applyFont="1" applyFill="1" applyAlignment="1">
      <alignment horizontal="center" vertical="center"/>
    </xf>
    <xf numFmtId="3" fontId="14" fillId="0" borderId="0" xfId="0" applyNumberFormat="1" applyFont="1" applyAlignment="1">
      <alignment horizontal="right" vertical="center"/>
    </xf>
    <xf numFmtId="0" fontId="6" fillId="0" borderId="0" xfId="0" applyFont="1" applyFill="1"/>
    <xf numFmtId="1" fontId="15" fillId="0" borderId="0" xfId="0" applyNumberFormat="1" applyFont="1" applyFill="1"/>
    <xf numFmtId="0" fontId="0" fillId="0" borderId="0" xfId="0" applyFill="1" applyAlignment="1">
      <alignment horizontal="center"/>
    </xf>
    <xf numFmtId="0" fontId="16" fillId="0" borderId="0" xfId="0" applyFont="1" applyFill="1"/>
    <xf numFmtId="0" fontId="16" fillId="0" borderId="0" xfId="0" applyFont="1" applyFill="1" applyAlignment="1">
      <alignment horizontal="center"/>
    </xf>
    <xf numFmtId="0" fontId="14" fillId="0" borderId="0" xfId="0" applyFont="1" applyFill="1" applyAlignment="1">
      <alignment horizontal="center"/>
    </xf>
    <xf numFmtId="1" fontId="17" fillId="0" borderId="0" xfId="0" applyNumberFormat="1" applyFont="1" applyFill="1" applyAlignment="1">
      <alignment horizontal="center"/>
    </xf>
    <xf numFmtId="0" fontId="9" fillId="0" borderId="0" xfId="0" applyFont="1" applyFill="1" applyAlignment="1">
      <alignment vertical="center"/>
    </xf>
    <xf numFmtId="0" fontId="16" fillId="0" borderId="0" xfId="0" applyFont="1" applyAlignment="1">
      <alignment vertical="center"/>
    </xf>
    <xf numFmtId="0" fontId="16" fillId="0" borderId="0" xfId="0" applyFont="1" applyAlignment="1" applyProtection="1">
      <alignment vertical="center"/>
      <protection locked="0"/>
    </xf>
    <xf numFmtId="0" fontId="16" fillId="0" borderId="0" xfId="0" applyFont="1" applyFill="1" applyAlignment="1">
      <alignment vertical="center"/>
    </xf>
    <xf numFmtId="0" fontId="16" fillId="30" borderId="0" xfId="0" applyFont="1" applyFill="1" applyAlignment="1">
      <alignment vertical="center"/>
    </xf>
    <xf numFmtId="0" fontId="3" fillId="0" borderId="0" xfId="0" applyFont="1" applyAlignment="1" applyProtection="1">
      <alignment vertical="center"/>
    </xf>
    <xf numFmtId="0" fontId="3" fillId="0" borderId="0" xfId="0" applyFont="1" applyFill="1" applyAlignment="1" applyProtection="1">
      <alignment vertical="center"/>
    </xf>
    <xf numFmtId="0" fontId="9" fillId="0" borderId="0" xfId="0" applyFont="1" applyAlignment="1" applyProtection="1">
      <alignment vertical="center"/>
    </xf>
    <xf numFmtId="0" fontId="9" fillId="0" borderId="0" xfId="0" applyFont="1" applyFill="1" applyAlignment="1" applyProtection="1">
      <alignment vertical="center"/>
    </xf>
    <xf numFmtId="0" fontId="9" fillId="0" borderId="10" xfId="0" applyFont="1" applyBorder="1" applyAlignment="1" applyProtection="1">
      <alignment vertical="center"/>
    </xf>
    <xf numFmtId="0" fontId="9" fillId="0" borderId="10" xfId="0" applyFont="1" applyFill="1" applyBorder="1" applyAlignment="1" applyProtection="1">
      <alignment vertical="center"/>
    </xf>
    <xf numFmtId="0" fontId="9" fillId="0" borderId="0" xfId="0" applyFont="1" applyBorder="1" applyAlignment="1" applyProtection="1">
      <alignment vertical="center"/>
    </xf>
    <xf numFmtId="0" fontId="9" fillId="0" borderId="0" xfId="0" applyFont="1" applyFill="1" applyBorder="1" applyAlignment="1" applyProtection="1">
      <alignment vertical="center"/>
    </xf>
    <xf numFmtId="3" fontId="9" fillId="0" borderId="0" xfId="0" applyNumberFormat="1" applyFont="1" applyFill="1" applyAlignment="1" applyProtection="1">
      <alignment vertical="center"/>
    </xf>
    <xf numFmtId="0" fontId="9" fillId="0" borderId="11" xfId="0" applyFont="1" applyFill="1" applyBorder="1" applyAlignment="1" applyProtection="1">
      <alignment vertical="center"/>
    </xf>
    <xf numFmtId="0" fontId="10" fillId="0" borderId="0" xfId="0" applyFont="1" applyFill="1" applyAlignment="1" applyProtection="1">
      <alignment vertical="center"/>
    </xf>
    <xf numFmtId="3" fontId="3" fillId="0" borderId="0" xfId="0" applyNumberFormat="1" applyFont="1" applyFill="1" applyAlignment="1" applyProtection="1">
      <alignment horizontal="center" vertical="center"/>
    </xf>
    <xf numFmtId="0" fontId="3" fillId="0" borderId="10" xfId="0" applyFont="1" applyFill="1" applyBorder="1" applyAlignment="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vertical="center"/>
    </xf>
    <xf numFmtId="0" fontId="9" fillId="0" borderId="0" xfId="0" applyFont="1" applyFill="1" applyAlignment="1" applyProtection="1">
      <alignment horizontal="left" vertical="center"/>
    </xf>
    <xf numFmtId="0" fontId="11" fillId="0" borderId="10" xfId="0" applyFont="1" applyFill="1" applyBorder="1" applyAlignment="1" applyProtection="1">
      <alignment vertical="center"/>
    </xf>
    <xf numFmtId="0" fontId="11" fillId="27" borderId="10" xfId="0" applyFont="1" applyFill="1" applyBorder="1" applyAlignment="1" applyProtection="1">
      <alignment vertical="center"/>
    </xf>
    <xf numFmtId="0" fontId="3" fillId="0" borderId="10" xfId="0" applyFont="1" applyBorder="1" applyAlignment="1" applyProtection="1">
      <alignment vertical="center"/>
    </xf>
    <xf numFmtId="9" fontId="7" fillId="0" borderId="10" xfId="0" applyNumberFormat="1" applyFont="1" applyFill="1" applyBorder="1" applyAlignment="1" applyProtection="1">
      <alignment horizontal="center" vertical="center"/>
    </xf>
    <xf numFmtId="14" fontId="9" fillId="0" borderId="0" xfId="0" applyNumberFormat="1" applyFont="1" applyAlignment="1" applyProtection="1">
      <alignment vertical="center"/>
    </xf>
    <xf numFmtId="14" fontId="9" fillId="0" borderId="0" xfId="0" applyNumberFormat="1" applyFont="1" applyFill="1" applyAlignment="1" applyProtection="1">
      <alignment vertical="center"/>
    </xf>
    <xf numFmtId="0" fontId="6" fillId="0" borderId="0" xfId="0" applyFont="1" applyFill="1" applyAlignment="1">
      <alignment vertical="center"/>
    </xf>
    <xf numFmtId="0" fontId="0" fillId="0" borderId="0" xfId="0" applyFill="1" applyAlignment="1">
      <alignment horizontal="center" vertical="center"/>
    </xf>
    <xf numFmtId="3" fontId="16" fillId="0" borderId="0" xfId="0" applyNumberFormat="1" applyFont="1" applyFill="1" applyAlignment="1" applyProtection="1">
      <alignment horizontal="left" vertical="center"/>
    </xf>
    <xf numFmtId="0" fontId="13" fillId="0" borderId="0" xfId="0" applyFont="1" applyFill="1" applyAlignment="1" applyProtection="1">
      <alignment horizontal="right" vertical="center"/>
    </xf>
    <xf numFmtId="0" fontId="9" fillId="0" borderId="12" xfId="0" applyFont="1" applyFill="1" applyBorder="1" applyAlignment="1" applyProtection="1">
      <alignment vertical="center"/>
    </xf>
    <xf numFmtId="0" fontId="9" fillId="0" borderId="0" xfId="0" applyFont="1" applyAlignment="1">
      <alignment horizontal="right" vertical="center"/>
    </xf>
    <xf numFmtId="0" fontId="9" fillId="0" borderId="0" xfId="0" applyFont="1" applyAlignment="1">
      <alignment horizontal="left" vertical="center"/>
    </xf>
    <xf numFmtId="3" fontId="16" fillId="0" borderId="0" xfId="0" applyNumberFormat="1" applyFont="1" applyAlignment="1">
      <alignment horizontal="center" vertical="center"/>
    </xf>
    <xf numFmtId="3" fontId="16" fillId="0" borderId="13" xfId="0" applyNumberFormat="1" applyFont="1" applyFill="1" applyBorder="1" applyAlignment="1">
      <alignment horizontal="center" vertical="center"/>
    </xf>
    <xf numFmtId="3" fontId="16" fillId="30" borderId="13" xfId="0" applyNumberFormat="1" applyFont="1" applyFill="1" applyBorder="1" applyAlignment="1">
      <alignment horizontal="center" vertical="center"/>
    </xf>
    <xf numFmtId="3" fontId="16" fillId="0" borderId="14" xfId="0" applyNumberFormat="1" applyFont="1" applyFill="1" applyBorder="1" applyAlignment="1">
      <alignment horizontal="center" vertical="center"/>
    </xf>
    <xf numFmtId="3" fontId="16" fillId="0" borderId="15" xfId="0" applyNumberFormat="1" applyFont="1" applyFill="1" applyBorder="1" applyAlignment="1">
      <alignment horizontal="center" vertical="center"/>
    </xf>
    <xf numFmtId="3" fontId="16" fillId="0" borderId="16" xfId="0" applyNumberFormat="1" applyFont="1" applyFill="1" applyBorder="1" applyAlignment="1">
      <alignment horizontal="center" vertical="center"/>
    </xf>
    <xf numFmtId="9" fontId="16" fillId="30" borderId="17" xfId="0" applyNumberFormat="1" applyFont="1" applyFill="1" applyBorder="1" applyAlignment="1">
      <alignment horizontal="center" vertical="center"/>
    </xf>
    <xf numFmtId="0" fontId="16" fillId="0" borderId="0" xfId="0" applyFont="1" applyFill="1" applyAlignment="1" applyProtection="1">
      <alignment vertical="center"/>
    </xf>
    <xf numFmtId="0" fontId="7" fillId="0" borderId="10" xfId="0" applyFont="1" applyFill="1" applyBorder="1" applyAlignment="1" applyProtection="1">
      <alignment horizontal="center" vertical="center"/>
    </xf>
    <xf numFmtId="0" fontId="26" fillId="0" borderId="0" xfId="0" applyFont="1" applyFill="1"/>
    <xf numFmtId="0" fontId="3" fillId="0" borderId="0" xfId="0" applyFont="1" applyFill="1" applyAlignment="1">
      <alignment horizontal="center"/>
    </xf>
    <xf numFmtId="1" fontId="3" fillId="0" borderId="0" xfId="0" applyNumberFormat="1" applyFont="1" applyFill="1" applyAlignment="1">
      <alignment horizontal="center"/>
    </xf>
    <xf numFmtId="0" fontId="3" fillId="0" borderId="0" xfId="0" applyFont="1" applyBorder="1" applyAlignment="1">
      <alignment horizontal="left" vertical="top" wrapText="1"/>
    </xf>
    <xf numFmtId="0" fontId="3" fillId="0" borderId="0" xfId="0" applyFont="1" applyBorder="1" applyAlignment="1">
      <alignment horizontal="justify" vertical="top" wrapText="1"/>
    </xf>
    <xf numFmtId="3" fontId="14" fillId="0" borderId="0" xfId="0" applyNumberFormat="1" applyFont="1" applyAlignment="1">
      <alignment horizontal="left" vertical="center"/>
    </xf>
    <xf numFmtId="0" fontId="14" fillId="0" borderId="0" xfId="0" applyFont="1" applyAlignment="1">
      <alignment vertical="center"/>
    </xf>
    <xf numFmtId="3" fontId="14" fillId="28" borderId="0" xfId="0" applyNumberFormat="1" applyFont="1" applyFill="1" applyAlignment="1">
      <alignment horizontal="right" vertical="center"/>
    </xf>
    <xf numFmtId="3" fontId="9" fillId="0" borderId="10" xfId="0" applyNumberFormat="1" applyFont="1" applyFill="1" applyBorder="1" applyAlignment="1" applyProtection="1">
      <alignment horizontal="right" vertical="center"/>
    </xf>
    <xf numFmtId="1" fontId="9" fillId="0" borderId="0" xfId="0" applyNumberFormat="1" applyFont="1" applyFill="1" applyBorder="1" applyAlignment="1" applyProtection="1">
      <alignment horizontal="right" vertical="center"/>
    </xf>
    <xf numFmtId="0" fontId="9" fillId="0" borderId="11" xfId="0" applyFont="1" applyBorder="1" applyAlignment="1" applyProtection="1">
      <alignment vertical="center"/>
    </xf>
    <xf numFmtId="10" fontId="9" fillId="0" borderId="10" xfId="0" applyNumberFormat="1" applyFont="1" applyFill="1" applyBorder="1" applyAlignment="1" applyProtection="1">
      <alignment vertical="center"/>
    </xf>
    <xf numFmtId="0" fontId="9" fillId="31" borderId="10" xfId="0" applyFont="1" applyFill="1" applyBorder="1" applyAlignment="1" applyProtection="1">
      <alignment vertical="center"/>
    </xf>
    <xf numFmtId="49" fontId="31" fillId="0" borderId="0" xfId="0" applyNumberFormat="1" applyFont="1" applyAlignment="1">
      <alignment horizontal="left"/>
    </xf>
    <xf numFmtId="0" fontId="32" fillId="0" borderId="0" xfId="0" applyFont="1"/>
    <xf numFmtId="4" fontId="32" fillId="0" borderId="0" xfId="0" applyNumberFormat="1" applyFont="1"/>
    <xf numFmtId="3" fontId="16" fillId="0" borderId="16" xfId="0" applyNumberFormat="1" applyFont="1" applyBorder="1" applyAlignment="1" applyProtection="1">
      <alignment vertical="center"/>
      <protection locked="0"/>
    </xf>
    <xf numFmtId="0" fontId="7" fillId="0" borderId="0" xfId="0" applyFont="1" applyFill="1" applyBorder="1" applyAlignment="1" applyProtection="1">
      <alignment vertical="center"/>
    </xf>
    <xf numFmtId="3" fontId="3" fillId="0" borderId="0" xfId="0" applyNumberFormat="1" applyFont="1" applyFill="1" applyBorder="1" applyAlignment="1" applyProtection="1">
      <alignment vertical="center"/>
    </xf>
    <xf numFmtId="0" fontId="18" fillId="0" borderId="0" xfId="0" applyFont="1" applyFill="1" applyBorder="1" applyAlignment="1" applyProtection="1">
      <alignment vertical="center"/>
    </xf>
    <xf numFmtId="0" fontId="23" fillId="0" borderId="0" xfId="0" applyFont="1" applyFill="1" applyBorder="1" applyAlignment="1" applyProtection="1">
      <alignment horizontal="right" vertical="center"/>
    </xf>
    <xf numFmtId="0" fontId="33" fillId="0" borderId="0" xfId="0" applyFont="1" applyFill="1" applyAlignment="1" applyProtection="1">
      <alignment horizontal="left" vertical="center"/>
    </xf>
    <xf numFmtId="0" fontId="34" fillId="0" borderId="0" xfId="0" applyFont="1" applyFill="1" applyAlignment="1">
      <alignment vertical="center"/>
    </xf>
    <xf numFmtId="1" fontId="16" fillId="0" borderId="16" xfId="0" applyNumberFormat="1" applyFont="1" applyBorder="1" applyAlignment="1" applyProtection="1">
      <alignment vertical="center"/>
      <protection locked="0"/>
    </xf>
    <xf numFmtId="4" fontId="16" fillId="0" borderId="0" xfId="0" applyNumberFormat="1" applyFont="1" applyAlignment="1">
      <alignment vertical="center"/>
    </xf>
    <xf numFmtId="0" fontId="16" fillId="0" borderId="0" xfId="0" applyFont="1" applyFill="1" applyAlignment="1" applyProtection="1">
      <alignment vertical="center"/>
      <protection locked="0"/>
    </xf>
    <xf numFmtId="10" fontId="16" fillId="0" borderId="16" xfId="0" applyNumberFormat="1" applyFont="1" applyBorder="1" applyAlignment="1" applyProtection="1">
      <alignment vertical="center"/>
      <protection locked="0"/>
    </xf>
    <xf numFmtId="0" fontId="16" fillId="0" borderId="0" xfId="0" applyFont="1" applyBorder="1" applyAlignment="1">
      <alignment vertical="center"/>
    </xf>
    <xf numFmtId="0" fontId="16" fillId="0" borderId="0" xfId="0" applyFont="1" applyBorder="1" applyAlignment="1" applyProtection="1">
      <alignment vertical="center"/>
      <protection locked="0"/>
    </xf>
    <xf numFmtId="10" fontId="16" fillId="0" borderId="0" xfId="0" applyNumberFormat="1" applyFont="1" applyFill="1" applyBorder="1" applyAlignment="1" applyProtection="1">
      <alignment vertical="center"/>
      <protection locked="0"/>
    </xf>
    <xf numFmtId="0" fontId="35" fillId="0" borderId="0" xfId="0" applyNumberFormat="1" applyFont="1" applyAlignment="1">
      <alignment horizontal="left"/>
    </xf>
    <xf numFmtId="49" fontId="16" fillId="0" borderId="0" xfId="0" applyNumberFormat="1" applyFont="1" applyFill="1" applyAlignment="1">
      <alignment vertical="center"/>
    </xf>
    <xf numFmtId="49" fontId="34" fillId="0" borderId="0" xfId="0" applyNumberFormat="1" applyFont="1" applyFill="1" applyAlignment="1">
      <alignment vertical="center"/>
    </xf>
    <xf numFmtId="49" fontId="32" fillId="0" borderId="0" xfId="0" applyNumberFormat="1" applyFont="1"/>
    <xf numFmtId="0" fontId="32" fillId="0" borderId="0" xfId="0" applyFont="1" applyAlignment="1">
      <alignment vertical="center"/>
    </xf>
    <xf numFmtId="4" fontId="16" fillId="0" borderId="16" xfId="0" applyNumberFormat="1" applyFont="1" applyBorder="1" applyAlignment="1">
      <alignment vertical="center"/>
    </xf>
    <xf numFmtId="4" fontId="13" fillId="0" borderId="0" xfId="0" applyNumberFormat="1" applyFont="1" applyFill="1" applyAlignment="1">
      <alignment horizontal="right" vertical="center"/>
    </xf>
    <xf numFmtId="4" fontId="16" fillId="0" borderId="0" xfId="0" applyNumberFormat="1" applyFont="1" applyFill="1" applyAlignment="1">
      <alignment vertical="center"/>
    </xf>
    <xf numFmtId="4" fontId="9" fillId="0" borderId="0" xfId="0" applyNumberFormat="1" applyFont="1" applyAlignment="1" applyProtection="1">
      <alignment vertical="center"/>
    </xf>
    <xf numFmtId="0" fontId="3" fillId="0" borderId="0" xfId="0" applyFont="1"/>
    <xf numFmtId="2" fontId="7" fillId="0" borderId="0" xfId="0" applyNumberFormat="1" applyFont="1" applyFill="1" applyBorder="1" applyAlignment="1" applyProtection="1">
      <alignment vertical="center"/>
    </xf>
    <xf numFmtId="0" fontId="3" fillId="0" borderId="0" xfId="0" applyFont="1" applyFill="1" applyBorder="1" applyAlignment="1">
      <alignment horizontal="center"/>
    </xf>
    <xf numFmtId="0" fontId="0" fillId="0" borderId="0" xfId="0" applyFill="1" applyBorder="1"/>
    <xf numFmtId="0" fontId="16" fillId="0" borderId="18" xfId="0" applyFont="1" applyFill="1" applyBorder="1" applyAlignment="1">
      <alignment horizontal="center"/>
    </xf>
    <xf numFmtId="0" fontId="0" fillId="0" borderId="18" xfId="0" applyFill="1" applyBorder="1" applyAlignment="1">
      <alignment horizontal="center"/>
    </xf>
    <xf numFmtId="0" fontId="14" fillId="0" borderId="0" xfId="0" applyFont="1" applyFill="1"/>
    <xf numFmtId="0" fontId="36" fillId="0" borderId="0" xfId="0" applyFont="1" applyFill="1"/>
    <xf numFmtId="1" fontId="9" fillId="0" borderId="0" xfId="0" applyNumberFormat="1" applyFont="1" applyFill="1" applyBorder="1" applyAlignment="1">
      <alignment horizontal="center" vertical="top" wrapText="1"/>
    </xf>
    <xf numFmtId="1" fontId="0" fillId="0" borderId="0" xfId="0" applyNumberFormat="1" applyFill="1"/>
    <xf numFmtId="1" fontId="0" fillId="0" borderId="0" xfId="0" applyNumberFormat="1" applyFill="1" applyAlignment="1">
      <alignment horizontal="center"/>
    </xf>
    <xf numFmtId="0" fontId="26" fillId="0" borderId="0" xfId="0" applyFont="1" applyFill="1" applyAlignment="1">
      <alignment horizontal="left"/>
    </xf>
    <xf numFmtId="0" fontId="0" fillId="0" borderId="0" xfId="0" applyFill="1" applyAlignment="1">
      <alignment horizontal="left"/>
    </xf>
    <xf numFmtId="1" fontId="3" fillId="0" borderId="0" xfId="0" applyNumberFormat="1" applyFont="1" applyFill="1" applyBorder="1" applyAlignment="1">
      <alignment horizontal="center" vertical="top" wrapText="1"/>
    </xf>
    <xf numFmtId="0" fontId="0" fillId="0" borderId="12" xfId="0" applyFill="1" applyBorder="1"/>
    <xf numFmtId="0" fontId="0" fillId="0" borderId="12" xfId="0" applyFill="1" applyBorder="1" applyAlignment="1">
      <alignment horizontal="left"/>
    </xf>
    <xf numFmtId="0" fontId="0" fillId="0" borderId="19" xfId="0" applyFill="1" applyBorder="1"/>
    <xf numFmtId="0" fontId="0" fillId="0" borderId="19" xfId="0" applyFill="1" applyBorder="1" applyAlignment="1">
      <alignment horizontal="left"/>
    </xf>
    <xf numFmtId="1" fontId="9" fillId="0" borderId="19" xfId="0" applyNumberFormat="1" applyFont="1" applyFill="1" applyBorder="1" applyAlignment="1">
      <alignment horizontal="center" vertical="top" wrapText="1"/>
    </xf>
    <xf numFmtId="1" fontId="0" fillId="0" borderId="19" xfId="0" applyNumberFormat="1" applyFill="1" applyBorder="1" applyAlignment="1">
      <alignment horizontal="center"/>
    </xf>
    <xf numFmtId="0" fontId="0" fillId="0" borderId="10" xfId="0" applyFill="1" applyBorder="1"/>
    <xf numFmtId="0" fontId="0" fillId="0" borderId="10" xfId="0" applyFill="1" applyBorder="1" applyAlignment="1">
      <alignment horizontal="left"/>
    </xf>
    <xf numFmtId="0" fontId="0" fillId="0" borderId="13" xfId="0" applyFill="1" applyBorder="1"/>
    <xf numFmtId="2" fontId="0" fillId="0" borderId="0" xfId="0" applyNumberFormat="1" applyFill="1"/>
    <xf numFmtId="0" fontId="3" fillId="0" borderId="0" xfId="0" applyFont="1" applyFill="1" applyAlignment="1">
      <alignment horizontal="left"/>
    </xf>
    <xf numFmtId="0" fontId="9" fillId="0" borderId="13" xfId="0" applyFont="1" applyFill="1" applyBorder="1" applyAlignment="1">
      <alignment horizontal="right"/>
    </xf>
    <xf numFmtId="0" fontId="9" fillId="0" borderId="0" xfId="0" applyFont="1" applyFill="1" applyAlignment="1">
      <alignment horizontal="left"/>
    </xf>
    <xf numFmtId="0" fontId="3" fillId="30" borderId="0" xfId="0" applyFont="1" applyFill="1"/>
    <xf numFmtId="1" fontId="3" fillId="30" borderId="0" xfId="0" applyNumberFormat="1" applyFont="1" applyFill="1" applyAlignment="1">
      <alignment horizontal="center"/>
    </xf>
    <xf numFmtId="0" fontId="0" fillId="30" borderId="0" xfId="0" applyFill="1" applyAlignment="1">
      <alignment horizontal="center"/>
    </xf>
    <xf numFmtId="2" fontId="0" fillId="30" borderId="0" xfId="0" applyNumberFormat="1" applyFill="1" applyAlignment="1">
      <alignment horizontal="center"/>
    </xf>
    <xf numFmtId="2" fontId="27" fillId="30" borderId="0" xfId="0" applyNumberFormat="1" applyFont="1" applyFill="1" applyAlignment="1">
      <alignment horizontal="center"/>
    </xf>
    <xf numFmtId="0" fontId="3" fillId="26" borderId="0" xfId="0" applyFont="1" applyFill="1" applyAlignment="1">
      <alignment horizontal="center"/>
    </xf>
    <xf numFmtId="2" fontId="0" fillId="26" borderId="0" xfId="0" applyNumberFormat="1" applyFill="1" applyBorder="1" applyAlignment="1">
      <alignment horizontal="center"/>
    </xf>
    <xf numFmtId="0" fontId="0" fillId="28" borderId="18" xfId="0" applyFill="1" applyBorder="1" applyAlignment="1">
      <alignment horizontal="center"/>
    </xf>
    <xf numFmtId="2" fontId="0" fillId="30" borderId="0" xfId="0" applyNumberFormat="1" applyFill="1"/>
    <xf numFmtId="0" fontId="14" fillId="0" borderId="0" xfId="0" applyFont="1" applyFill="1" applyAlignment="1"/>
    <xf numFmtId="0" fontId="3" fillId="32" borderId="0" xfId="0" applyFont="1" applyFill="1"/>
    <xf numFmtId="1" fontId="3" fillId="32" borderId="0" xfId="0" applyNumberFormat="1" applyFont="1" applyFill="1" applyAlignment="1">
      <alignment horizontal="center"/>
    </xf>
    <xf numFmtId="0" fontId="0" fillId="32" borderId="0" xfId="0" applyFill="1" applyAlignment="1">
      <alignment horizontal="center"/>
    </xf>
    <xf numFmtId="0" fontId="9" fillId="0" borderId="19" xfId="0" applyFont="1" applyFill="1" applyBorder="1" applyAlignment="1">
      <alignment horizontal="center"/>
    </xf>
    <xf numFmtId="2" fontId="0" fillId="32" borderId="0" xfId="0" applyNumberFormat="1" applyFill="1" applyAlignment="1">
      <alignment horizontal="center"/>
    </xf>
    <xf numFmtId="2" fontId="27" fillId="32" borderId="0" xfId="0" applyNumberFormat="1" applyFont="1" applyFill="1" applyAlignment="1">
      <alignment horizontal="center"/>
    </xf>
    <xf numFmtId="2" fontId="0" fillId="32" borderId="0" xfId="0" applyNumberFormat="1" applyFill="1"/>
    <xf numFmtId="2" fontId="0" fillId="26" borderId="0" xfId="0" applyNumberFormat="1" applyFill="1"/>
    <xf numFmtId="0" fontId="3" fillId="0" borderId="19" xfId="0" applyFont="1" applyFill="1" applyBorder="1"/>
    <xf numFmtId="2" fontId="0" fillId="30" borderId="19" xfId="0" applyNumberFormat="1" applyFill="1" applyBorder="1"/>
    <xf numFmtId="2" fontId="0" fillId="0" borderId="19" xfId="0" applyNumberFormat="1" applyFill="1" applyBorder="1"/>
    <xf numFmtId="2" fontId="0" fillId="26" borderId="19" xfId="0" applyNumberFormat="1" applyFill="1" applyBorder="1"/>
    <xf numFmtId="2" fontId="0" fillId="26" borderId="0" xfId="0" applyNumberFormat="1" applyFill="1" applyBorder="1"/>
    <xf numFmtId="2" fontId="0" fillId="28" borderId="0" xfId="0" applyNumberFormat="1" applyFill="1"/>
    <xf numFmtId="2" fontId="0" fillId="28" borderId="19" xfId="0" applyNumberFormat="1" applyFill="1" applyBorder="1"/>
    <xf numFmtId="2" fontId="0" fillId="28" borderId="0" xfId="0" applyNumberFormat="1" applyFill="1" applyBorder="1"/>
    <xf numFmtId="0" fontId="23" fillId="0" borderId="0" xfId="0" applyFont="1" applyFill="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6" fillId="0" borderId="0" xfId="0" applyFont="1" applyFill="1" applyBorder="1" applyAlignment="1">
      <alignment horizontal="center"/>
    </xf>
    <xf numFmtId="0" fontId="3" fillId="0" borderId="20" xfId="0" applyFont="1" applyFill="1" applyBorder="1" applyAlignment="1">
      <alignment horizontal="center"/>
    </xf>
    <xf numFmtId="0" fontId="3" fillId="0" borderId="21" xfId="0" applyFont="1" applyFill="1" applyBorder="1" applyAlignment="1">
      <alignment horizontal="center"/>
    </xf>
    <xf numFmtId="0" fontId="3" fillId="0" borderId="22" xfId="0" applyFont="1" applyFill="1" applyBorder="1" applyAlignment="1">
      <alignment horizontal="center"/>
    </xf>
    <xf numFmtId="0" fontId="3" fillId="0" borderId="23" xfId="0" applyFont="1" applyFill="1" applyBorder="1" applyAlignment="1">
      <alignment horizontal="center"/>
    </xf>
    <xf numFmtId="0" fontId="3" fillId="0" borderId="19" xfId="0" applyFont="1" applyFill="1" applyBorder="1" applyAlignment="1">
      <alignment horizontal="center"/>
    </xf>
    <xf numFmtId="0" fontId="3" fillId="0" borderId="24" xfId="0" applyFont="1" applyFill="1" applyBorder="1" applyAlignment="1">
      <alignment horizontal="center"/>
    </xf>
    <xf numFmtId="0" fontId="22" fillId="0" borderId="0" xfId="0" applyFont="1" applyFill="1" applyAlignment="1">
      <alignment vertical="center"/>
    </xf>
    <xf numFmtId="1" fontId="16" fillId="0" borderId="0" xfId="0" applyNumberFormat="1" applyFont="1" applyFill="1" applyBorder="1" applyAlignment="1" applyProtection="1">
      <alignment vertical="center"/>
      <protection locked="0"/>
    </xf>
    <xf numFmtId="1" fontId="16" fillId="0" borderId="0" xfId="0" applyNumberFormat="1" applyFont="1" applyFill="1" applyAlignment="1">
      <alignment vertical="center"/>
    </xf>
    <xf numFmtId="2" fontId="16" fillId="0" borderId="0" xfId="0" applyNumberFormat="1" applyFont="1" applyFill="1" applyAlignment="1">
      <alignment vertical="center"/>
    </xf>
    <xf numFmtId="0" fontId="0" fillId="0" borderId="0" xfId="0" applyFill="1" applyBorder="1" applyAlignment="1">
      <alignment horizontal="left"/>
    </xf>
    <xf numFmtId="1" fontId="0" fillId="0" borderId="0" xfId="0" applyNumberFormat="1" applyFill="1" applyBorder="1" applyAlignment="1">
      <alignment horizontal="center"/>
    </xf>
    <xf numFmtId="1" fontId="3" fillId="0" borderId="0" xfId="0" applyNumberFormat="1" applyFont="1" applyFill="1" applyBorder="1" applyAlignment="1">
      <alignment horizontal="center"/>
    </xf>
    <xf numFmtId="1" fontId="0" fillId="0" borderId="0" xfId="0" applyNumberFormat="1" applyFill="1" applyBorder="1"/>
    <xf numFmtId="1" fontId="3" fillId="28" borderId="10" xfId="0" applyNumberFormat="1" applyFont="1" applyFill="1" applyBorder="1" applyAlignment="1">
      <alignment horizontal="center"/>
    </xf>
    <xf numFmtId="1" fontId="0" fillId="28" borderId="0" xfId="0" applyNumberFormat="1" applyFill="1" applyAlignment="1">
      <alignment horizontal="center"/>
    </xf>
    <xf numFmtId="1" fontId="3" fillId="28" borderId="0" xfId="0" applyNumberFormat="1" applyFont="1" applyFill="1" applyAlignment="1">
      <alignment horizontal="center"/>
    </xf>
    <xf numFmtId="1" fontId="3" fillId="30" borderId="0" xfId="0" applyNumberFormat="1" applyFont="1" applyFill="1" applyBorder="1" applyAlignment="1">
      <alignment horizontal="center" vertical="top" wrapText="1"/>
    </xf>
    <xf numFmtId="1" fontId="3" fillId="30" borderId="12" xfId="0" applyNumberFormat="1" applyFont="1" applyFill="1" applyBorder="1" applyAlignment="1">
      <alignment horizontal="center" vertical="top" wrapText="1"/>
    </xf>
    <xf numFmtId="1" fontId="3" fillId="30" borderId="10" xfId="0" applyNumberFormat="1" applyFont="1" applyFill="1" applyBorder="1" applyAlignment="1">
      <alignment horizontal="center" vertical="top" wrapText="1"/>
    </xf>
    <xf numFmtId="1" fontId="9" fillId="30" borderId="0" xfId="0" applyNumberFormat="1" applyFont="1" applyFill="1" applyBorder="1" applyAlignment="1">
      <alignment horizontal="center" vertical="top" wrapText="1"/>
    </xf>
    <xf numFmtId="1" fontId="9" fillId="30" borderId="12" xfId="0" applyNumberFormat="1" applyFont="1" applyFill="1" applyBorder="1" applyAlignment="1">
      <alignment horizontal="center" vertical="top" wrapText="1"/>
    </xf>
    <xf numFmtId="1" fontId="9" fillId="30" borderId="10" xfId="0" applyNumberFormat="1" applyFont="1" applyFill="1" applyBorder="1" applyAlignment="1">
      <alignment horizontal="center" vertical="top" wrapText="1"/>
    </xf>
    <xf numFmtId="1" fontId="3" fillId="26" borderId="0" xfId="0" applyNumberFormat="1" applyFont="1" applyFill="1" applyAlignment="1">
      <alignment horizontal="center"/>
    </xf>
    <xf numFmtId="1" fontId="3" fillId="26" borderId="12" xfId="0" applyNumberFormat="1" applyFont="1" applyFill="1" applyBorder="1" applyAlignment="1">
      <alignment horizontal="center"/>
    </xf>
    <xf numFmtId="1" fontId="3" fillId="30" borderId="11" xfId="0" applyNumberFormat="1" applyFont="1" applyFill="1" applyBorder="1" applyAlignment="1">
      <alignment horizontal="center" vertical="top" wrapText="1"/>
    </xf>
    <xf numFmtId="1" fontId="3" fillId="30" borderId="25" xfId="0" applyNumberFormat="1" applyFont="1" applyFill="1" applyBorder="1" applyAlignment="1">
      <alignment horizontal="center"/>
    </xf>
    <xf numFmtId="2" fontId="1" fillId="30" borderId="25" xfId="0" applyNumberFormat="1" applyFont="1" applyFill="1" applyBorder="1" applyAlignment="1">
      <alignment horizontal="center"/>
    </xf>
    <xf numFmtId="2" fontId="1" fillId="30" borderId="0" xfId="0" applyNumberFormat="1" applyFont="1" applyFill="1" applyAlignment="1">
      <alignment horizontal="center"/>
    </xf>
    <xf numFmtId="2" fontId="1" fillId="32" borderId="25" xfId="0" applyNumberFormat="1" applyFont="1" applyFill="1" applyBorder="1" applyAlignment="1">
      <alignment horizontal="center"/>
    </xf>
    <xf numFmtId="2" fontId="1" fillId="32" borderId="0" xfId="0" applyNumberFormat="1" applyFont="1" applyFill="1" applyAlignment="1">
      <alignment horizontal="center"/>
    </xf>
    <xf numFmtId="0" fontId="16" fillId="0" borderId="0" xfId="0" applyFont="1" applyFill="1" applyBorder="1" applyAlignment="1" applyProtection="1">
      <alignment vertical="center"/>
    </xf>
    <xf numFmtId="0" fontId="3" fillId="0" borderId="25" xfId="0" applyFont="1" applyFill="1" applyBorder="1"/>
    <xf numFmtId="1" fontId="3" fillId="0" borderId="25" xfId="0" applyNumberFormat="1" applyFont="1" applyFill="1" applyBorder="1" applyAlignment="1">
      <alignment horizontal="center"/>
    </xf>
    <xf numFmtId="3" fontId="0" fillId="0" borderId="25" xfId="0" applyNumberFormat="1" applyFill="1" applyBorder="1" applyAlignment="1">
      <alignment horizontal="center"/>
    </xf>
    <xf numFmtId="3" fontId="0" fillId="0" borderId="0" xfId="0" applyNumberFormat="1" applyFill="1" applyAlignment="1">
      <alignment horizontal="center"/>
    </xf>
    <xf numFmtId="3" fontId="0" fillId="0" borderId="12" xfId="0" applyNumberFormat="1" applyFill="1" applyBorder="1" applyAlignment="1">
      <alignment horizontal="center"/>
    </xf>
    <xf numFmtId="0" fontId="16" fillId="0" borderId="0" xfId="0" applyFont="1" applyBorder="1" applyAlignment="1">
      <alignment horizontal="left" vertical="center"/>
    </xf>
    <xf numFmtId="0" fontId="16" fillId="33" borderId="0" xfId="0" applyFont="1" applyFill="1" applyAlignment="1" applyProtection="1">
      <alignment vertical="center"/>
      <protection locked="0"/>
    </xf>
    <xf numFmtId="3" fontId="16" fillId="0" borderId="16" xfId="0" applyNumberFormat="1" applyFont="1" applyFill="1" applyBorder="1" applyAlignment="1">
      <alignment vertical="center"/>
    </xf>
    <xf numFmtId="4" fontId="9" fillId="0" borderId="0" xfId="0" applyNumberFormat="1" applyFont="1" applyFill="1" applyBorder="1" applyAlignment="1" applyProtection="1">
      <alignment vertical="center"/>
    </xf>
    <xf numFmtId="1" fontId="16" fillId="0" borderId="0" xfId="0" applyNumberFormat="1" applyFont="1" applyFill="1" applyBorder="1" applyAlignment="1" applyProtection="1">
      <alignment vertical="center"/>
    </xf>
    <xf numFmtId="10" fontId="13" fillId="0" borderId="0" xfId="0" applyNumberFormat="1" applyFont="1" applyFill="1" applyBorder="1" applyAlignment="1" applyProtection="1">
      <alignment horizontal="right" vertical="center"/>
    </xf>
    <xf numFmtId="3" fontId="9" fillId="0" borderId="0" xfId="0" applyNumberFormat="1" applyFont="1" applyFill="1" applyBorder="1" applyAlignment="1" applyProtection="1">
      <alignment vertical="center"/>
    </xf>
    <xf numFmtId="0" fontId="9" fillId="34" borderId="0" xfId="0" applyFont="1" applyFill="1" applyBorder="1" applyAlignment="1" applyProtection="1">
      <alignment vertical="center"/>
    </xf>
    <xf numFmtId="0" fontId="16" fillId="34" borderId="0" xfId="0" applyFont="1" applyFill="1" applyBorder="1" applyAlignment="1" applyProtection="1">
      <alignment vertical="center"/>
    </xf>
    <xf numFmtId="0" fontId="30" fillId="34" borderId="0" xfId="0" applyFont="1" applyFill="1" applyBorder="1" applyAlignment="1" applyProtection="1">
      <alignment vertical="center"/>
    </xf>
    <xf numFmtId="0" fontId="22" fillId="34" borderId="0" xfId="0" applyFont="1" applyFill="1" applyBorder="1" applyAlignment="1" applyProtection="1">
      <alignment vertical="center"/>
    </xf>
    <xf numFmtId="0" fontId="24" fillId="34" borderId="0" xfId="0" applyFont="1" applyFill="1" applyBorder="1" applyAlignment="1" applyProtection="1">
      <alignment vertical="center"/>
    </xf>
    <xf numFmtId="0" fontId="20" fillId="34" borderId="0" xfId="0" applyFont="1" applyFill="1" applyBorder="1" applyAlignment="1" applyProtection="1">
      <alignment vertical="center"/>
    </xf>
    <xf numFmtId="0" fontId="18" fillId="34" borderId="0" xfId="0" applyFont="1" applyFill="1" applyBorder="1" applyAlignment="1" applyProtection="1">
      <alignment vertical="center"/>
    </xf>
    <xf numFmtId="0" fontId="9" fillId="34" borderId="0" xfId="0" applyFont="1" applyFill="1" applyBorder="1" applyAlignment="1" applyProtection="1">
      <alignment horizontal="right" vertical="center"/>
    </xf>
    <xf numFmtId="0" fontId="9" fillId="34" borderId="0" xfId="0" applyFont="1" applyFill="1" applyAlignment="1">
      <alignment vertical="center"/>
    </xf>
    <xf numFmtId="0" fontId="16" fillId="0" borderId="0" xfId="0" applyFont="1" applyFill="1" applyAlignment="1" applyProtection="1">
      <alignment horizontal="left" vertical="center"/>
    </xf>
    <xf numFmtId="2" fontId="16" fillId="0" borderId="0" xfId="0" applyNumberFormat="1" applyFont="1" applyFill="1" applyAlignment="1" applyProtection="1">
      <alignment horizontal="left" vertical="center"/>
    </xf>
    <xf numFmtId="0" fontId="32" fillId="34" borderId="0" xfId="0" applyFont="1" applyFill="1"/>
    <xf numFmtId="165" fontId="16" fillId="0" borderId="0" xfId="0" applyNumberFormat="1" applyFont="1" applyBorder="1" applyAlignment="1">
      <alignment horizontal="center" vertical="top" wrapText="1"/>
    </xf>
    <xf numFmtId="4" fontId="16" fillId="0" borderId="14" xfId="0" applyNumberFormat="1" applyFont="1" applyBorder="1" applyAlignment="1">
      <alignment vertical="center"/>
    </xf>
    <xf numFmtId="164" fontId="16" fillId="0" borderId="26" xfId="0" applyNumberFormat="1" applyFont="1" applyBorder="1" applyAlignment="1" applyProtection="1">
      <alignment vertical="center"/>
      <protection locked="0"/>
    </xf>
    <xf numFmtId="4" fontId="16" fillId="0" borderId="15" xfId="0" applyNumberFormat="1" applyFont="1" applyBorder="1" applyAlignment="1" applyProtection="1">
      <alignment vertical="center"/>
      <protection locked="0"/>
    </xf>
    <xf numFmtId="164" fontId="13" fillId="0" borderId="0" xfId="0" applyNumberFormat="1" applyFont="1" applyBorder="1" applyAlignment="1" applyProtection="1">
      <alignment vertical="center"/>
      <protection locked="0"/>
    </xf>
    <xf numFmtId="0" fontId="16" fillId="0" borderId="0" xfId="0" applyFont="1" applyAlignment="1">
      <alignment horizontal="left" vertical="center"/>
    </xf>
    <xf numFmtId="0" fontId="16" fillId="0" borderId="0" xfId="0" applyFont="1" applyFill="1" applyAlignment="1">
      <alignment horizontal="left" vertical="center"/>
    </xf>
    <xf numFmtId="0" fontId="34" fillId="0" borderId="0" xfId="0" applyFont="1" applyFill="1" applyAlignment="1">
      <alignment horizontal="left" vertical="center"/>
    </xf>
    <xf numFmtId="2" fontId="16" fillId="0" borderId="0" xfId="0" applyNumberFormat="1" applyFont="1" applyFill="1" applyBorder="1" applyAlignment="1">
      <alignment horizontal="left" vertical="center"/>
    </xf>
    <xf numFmtId="4" fontId="37" fillId="34" borderId="0" xfId="0" applyNumberFormat="1" applyFont="1" applyFill="1"/>
    <xf numFmtId="0" fontId="7" fillId="0" borderId="0" xfId="0" applyFont="1" applyFill="1" applyBorder="1" applyAlignment="1">
      <alignment vertical="center"/>
    </xf>
    <xf numFmtId="0" fontId="20" fillId="0" borderId="0" xfId="0" applyFont="1" applyFill="1" applyBorder="1" applyAlignment="1" applyProtection="1">
      <alignment vertical="center"/>
    </xf>
    <xf numFmtId="3" fontId="16" fillId="0" borderId="0" xfId="0" applyNumberFormat="1" applyFont="1" applyBorder="1" applyAlignment="1" applyProtection="1">
      <alignment vertical="center"/>
      <protection locked="0"/>
    </xf>
    <xf numFmtId="0" fontId="0" fillId="27" borderId="0" xfId="0" applyFill="1" applyAlignment="1">
      <alignment vertical="center"/>
    </xf>
    <xf numFmtId="0" fontId="3" fillId="27" borderId="0" xfId="0" applyFont="1" applyFill="1" applyAlignment="1">
      <alignment vertical="center"/>
    </xf>
    <xf numFmtId="2" fontId="0" fillId="27" borderId="0" xfId="0" applyNumberFormat="1" applyFill="1" applyAlignment="1">
      <alignment vertical="center"/>
    </xf>
    <xf numFmtId="2" fontId="0" fillId="27" borderId="12" xfId="0" applyNumberFormat="1" applyFill="1" applyBorder="1" applyAlignment="1">
      <alignment vertical="center"/>
    </xf>
    <xf numFmtId="0" fontId="56" fillId="0" borderId="27" xfId="34" applyFont="1" applyBorder="1" applyProtection="1">
      <protection locked="0"/>
    </xf>
    <xf numFmtId="0" fontId="56" fillId="0" borderId="28" xfId="34" applyFont="1" applyBorder="1" applyProtection="1">
      <protection locked="0"/>
    </xf>
    <xf numFmtId="0" fontId="23" fillId="0" borderId="0" xfId="34" applyFont="1"/>
    <xf numFmtId="0" fontId="7" fillId="0" borderId="10" xfId="34" applyFont="1" applyBorder="1"/>
    <xf numFmtId="0" fontId="7" fillId="0" borderId="16" xfId="34" applyFont="1" applyBorder="1"/>
    <xf numFmtId="0" fontId="7" fillId="0" borderId="18" xfId="34" applyFont="1" applyBorder="1" applyProtection="1">
      <protection locked="0"/>
    </xf>
    <xf numFmtId="0" fontId="7" fillId="0" borderId="29" xfId="34" applyFont="1" applyBorder="1" applyProtection="1">
      <protection locked="0"/>
    </xf>
    <xf numFmtId="0" fontId="7" fillId="0" borderId="0" xfId="34" applyFont="1"/>
    <xf numFmtId="0" fontId="23" fillId="0" borderId="13" xfId="34" applyFont="1" applyBorder="1"/>
    <xf numFmtId="0" fontId="7" fillId="0" borderId="13" xfId="34" applyFont="1" applyBorder="1"/>
    <xf numFmtId="0" fontId="7" fillId="0" borderId="30" xfId="34" applyFont="1" applyBorder="1" applyProtection="1">
      <protection locked="0"/>
    </xf>
    <xf numFmtId="0" fontId="7" fillId="0" borderId="31" xfId="34" applyFont="1" applyBorder="1" applyProtection="1">
      <protection locked="0"/>
    </xf>
    <xf numFmtId="0" fontId="7" fillId="0" borderId="0" xfId="34" applyFont="1" applyProtection="1">
      <protection locked="0"/>
    </xf>
    <xf numFmtId="0" fontId="56" fillId="0" borderId="27" xfId="34" applyFont="1" applyBorder="1" applyAlignment="1" applyProtection="1">
      <alignment wrapText="1"/>
      <protection locked="0"/>
    </xf>
    <xf numFmtId="0" fontId="7" fillId="0" borderId="10" xfId="34" applyFont="1" applyBorder="1" applyAlignment="1">
      <alignment horizontal="center"/>
    </xf>
    <xf numFmtId="9" fontId="7" fillId="0" borderId="10" xfId="34" applyNumberFormat="1" applyFont="1" applyBorder="1" applyAlignment="1">
      <alignment horizontal="center"/>
    </xf>
    <xf numFmtId="0" fontId="7" fillId="0" borderId="18" xfId="34" applyFont="1" applyBorder="1" applyAlignment="1" applyProtection="1">
      <alignment wrapText="1"/>
      <protection locked="0"/>
    </xf>
    <xf numFmtId="0" fontId="7" fillId="0" borderId="0" xfId="34" applyFont="1" applyBorder="1"/>
    <xf numFmtId="2" fontId="7" fillId="0" borderId="0" xfId="34" applyNumberFormat="1" applyFont="1" applyBorder="1"/>
    <xf numFmtId="0" fontId="56" fillId="0" borderId="17" xfId="34" applyFont="1" applyBorder="1" applyProtection="1">
      <protection locked="0"/>
    </xf>
    <xf numFmtId="9" fontId="7" fillId="35" borderId="0" xfId="34" applyNumberFormat="1" applyFont="1" applyFill="1" applyAlignment="1">
      <alignment horizontal="left"/>
    </xf>
    <xf numFmtId="0" fontId="7" fillId="0" borderId="0" xfId="34" applyFont="1" applyAlignment="1">
      <alignment horizontal="left"/>
    </xf>
    <xf numFmtId="0" fontId="56" fillId="0" borderId="0" xfId="34" applyFont="1" applyBorder="1" applyProtection="1">
      <protection locked="0"/>
    </xf>
    <xf numFmtId="0" fontId="7" fillId="0" borderId="0" xfId="34" applyFont="1" applyBorder="1" applyAlignment="1">
      <alignment horizontal="center"/>
    </xf>
    <xf numFmtId="0" fontId="23" fillId="0" borderId="0" xfId="34" applyFont="1" applyAlignment="1">
      <alignment horizontal="left"/>
    </xf>
    <xf numFmtId="0" fontId="23" fillId="0" borderId="0" xfId="34" applyFont="1" applyBorder="1"/>
    <xf numFmtId="0" fontId="57" fillId="0" borderId="0" xfId="34" applyFont="1" applyProtection="1">
      <protection locked="0"/>
    </xf>
    <xf numFmtId="9" fontId="7" fillId="0" borderId="18" xfId="34" applyNumberFormat="1" applyFont="1" applyBorder="1" applyAlignment="1" applyProtection="1">
      <alignment horizontal="left"/>
      <protection locked="0"/>
    </xf>
    <xf numFmtId="9" fontId="7" fillId="35" borderId="18" xfId="34" applyNumberFormat="1" applyFont="1" applyFill="1" applyBorder="1" applyAlignment="1" applyProtection="1">
      <alignment horizontal="left"/>
      <protection locked="0"/>
    </xf>
    <xf numFmtId="9" fontId="7" fillId="0" borderId="0" xfId="34" applyNumberFormat="1" applyFont="1" applyBorder="1" applyAlignment="1" applyProtection="1">
      <alignment horizontal="left"/>
      <protection locked="0"/>
    </xf>
    <xf numFmtId="0" fontId="7" fillId="0" borderId="0" xfId="34" applyFont="1" applyBorder="1" applyProtection="1">
      <protection locked="0"/>
    </xf>
    <xf numFmtId="0" fontId="23" fillId="0" borderId="0" xfId="34" applyFont="1" applyAlignment="1">
      <alignment horizontal="center"/>
    </xf>
    <xf numFmtId="0" fontId="8" fillId="0" borderId="0" xfId="34"/>
    <xf numFmtId="0" fontId="9" fillId="0" borderId="0" xfId="34" applyFont="1"/>
    <xf numFmtId="0" fontId="5" fillId="0" borderId="0" xfId="34" applyFont="1"/>
    <xf numFmtId="9" fontId="3" fillId="0" borderId="0" xfId="34" applyNumberFormat="1" applyFont="1" applyAlignment="1">
      <alignment horizontal="right"/>
    </xf>
    <xf numFmtId="0" fontId="3" fillId="0" borderId="0" xfId="34" applyFont="1"/>
    <xf numFmtId="0" fontId="9" fillId="0" borderId="0" xfId="34" applyFont="1" applyAlignment="1">
      <alignment horizontal="right"/>
    </xf>
    <xf numFmtId="12" fontId="3" fillId="0" borderId="0" xfId="34" applyNumberFormat="1" applyFont="1" applyAlignment="1">
      <alignment horizontal="right"/>
    </xf>
    <xf numFmtId="3" fontId="9" fillId="0" borderId="0" xfId="34" applyNumberFormat="1" applyFont="1" applyAlignment="1">
      <alignment horizontal="right"/>
    </xf>
    <xf numFmtId="9" fontId="3" fillId="0" borderId="0" xfId="34" applyNumberFormat="1" applyFont="1" applyAlignment="1">
      <alignment horizontal="center"/>
    </xf>
    <xf numFmtId="0" fontId="28" fillId="0" borderId="0" xfId="34" applyFont="1"/>
    <xf numFmtId="0" fontId="9" fillId="0" borderId="14" xfId="34" applyFont="1" applyBorder="1" applyAlignment="1">
      <alignment horizontal="center" vertical="center" wrapText="1"/>
    </xf>
    <xf numFmtId="0" fontId="57" fillId="0" borderId="0" xfId="34" applyFont="1"/>
    <xf numFmtId="0" fontId="9" fillId="0" borderId="15" xfId="34" applyFont="1" applyBorder="1" applyAlignment="1">
      <alignment horizontal="center" vertical="center" wrapText="1"/>
    </xf>
    <xf numFmtId="0" fontId="9" fillId="0" borderId="30" xfId="34" applyFont="1" applyBorder="1" applyAlignment="1">
      <alignment horizontal="center" vertical="center" wrapText="1"/>
    </xf>
    <xf numFmtId="0" fontId="9" fillId="0" borderId="12" xfId="34" applyFont="1" applyBorder="1" applyAlignment="1">
      <alignment horizontal="center" vertical="center" wrapText="1"/>
    </xf>
    <xf numFmtId="0" fontId="9" fillId="0" borderId="31" xfId="34" applyFont="1" applyBorder="1" applyAlignment="1">
      <alignment horizontal="center" vertical="center" wrapText="1"/>
    </xf>
    <xf numFmtId="0" fontId="9" fillId="0" borderId="13" xfId="34" applyFont="1" applyBorder="1" applyAlignment="1">
      <alignment horizontal="center" vertical="center" wrapText="1"/>
    </xf>
    <xf numFmtId="168" fontId="24" fillId="0" borderId="10" xfId="34" applyNumberFormat="1" applyFont="1" applyBorder="1" applyAlignment="1">
      <alignment vertical="top" wrapText="1"/>
    </xf>
    <xf numFmtId="168" fontId="24" fillId="0" borderId="16" xfId="34" applyNumberFormat="1" applyFont="1" applyBorder="1" applyAlignment="1">
      <alignment vertical="top" wrapText="1"/>
    </xf>
    <xf numFmtId="168" fontId="9" fillId="0" borderId="17" xfId="34" applyNumberFormat="1" applyFont="1" applyBorder="1" applyAlignment="1">
      <alignment horizontal="left"/>
    </xf>
    <xf numFmtId="2" fontId="3" fillId="0" borderId="17" xfId="34" applyNumberFormat="1" applyFont="1" applyBorder="1" applyAlignment="1">
      <alignment horizontal="right" vertical="center" wrapText="1"/>
    </xf>
    <xf numFmtId="169" fontId="3" fillId="0" borderId="16" xfId="34" applyNumberFormat="1" applyFont="1" applyBorder="1" applyAlignment="1">
      <alignment horizontal="right" vertical="center" wrapText="1"/>
    </xf>
    <xf numFmtId="2" fontId="9" fillId="0" borderId="17" xfId="34" applyNumberFormat="1" applyFont="1" applyBorder="1" applyAlignment="1">
      <alignment horizontal="right" vertical="center" wrapText="1"/>
    </xf>
    <xf numFmtId="169" fontId="9" fillId="0" borderId="16" xfId="34" applyNumberFormat="1" applyFont="1" applyBorder="1" applyAlignment="1">
      <alignment horizontal="right" vertical="center" wrapText="1"/>
    </xf>
    <xf numFmtId="0" fontId="9" fillId="0" borderId="16" xfId="34" applyFont="1" applyBorder="1"/>
    <xf numFmtId="0" fontId="25" fillId="0" borderId="16" xfId="34" applyFont="1" applyBorder="1"/>
    <xf numFmtId="0" fontId="34" fillId="0" borderId="0" xfId="0" applyFont="1" applyAlignment="1">
      <alignment vertical="center"/>
    </xf>
    <xf numFmtId="0" fontId="58" fillId="0" borderId="0" xfId="34" applyFont="1" applyAlignment="1">
      <alignment vertical="center"/>
    </xf>
    <xf numFmtId="0" fontId="9" fillId="31" borderId="0" xfId="34" applyFont="1" applyFill="1" applyAlignment="1">
      <alignment vertical="center"/>
    </xf>
    <xf numFmtId="9" fontId="3" fillId="31" borderId="0" xfId="34" applyNumberFormat="1" applyFont="1" applyFill="1" applyAlignment="1">
      <alignment horizontal="right" vertical="center"/>
    </xf>
    <xf numFmtId="0" fontId="5" fillId="31" borderId="0" xfId="34" applyFont="1" applyFill="1" applyAlignment="1">
      <alignment horizontal="right" vertical="center"/>
    </xf>
    <xf numFmtId="0" fontId="5" fillId="0" borderId="0" xfId="34" applyFont="1" applyAlignment="1">
      <alignment vertical="center"/>
    </xf>
    <xf numFmtId="0" fontId="35" fillId="0" borderId="0" xfId="34" applyFont="1" applyFill="1" applyAlignment="1">
      <alignment vertical="center"/>
    </xf>
    <xf numFmtId="0" fontId="59" fillId="0" borderId="0" xfId="34" applyFont="1" applyFill="1" applyAlignment="1">
      <alignment vertical="center"/>
    </xf>
    <xf numFmtId="49" fontId="3" fillId="0" borderId="0" xfId="0" applyNumberFormat="1" applyFont="1" applyAlignment="1">
      <alignment horizontal="left"/>
    </xf>
    <xf numFmtId="0" fontId="9" fillId="0" borderId="0" xfId="0" applyFont="1"/>
    <xf numFmtId="4" fontId="9" fillId="0" borderId="0" xfId="0" applyNumberFormat="1" applyFont="1"/>
    <xf numFmtId="4" fontId="60" fillId="34" borderId="0" xfId="0" applyNumberFormat="1" applyFont="1" applyFill="1"/>
    <xf numFmtId="49" fontId="9" fillId="0" borderId="0" xfId="0" applyNumberFormat="1" applyFont="1" applyAlignment="1">
      <alignment horizontal="left"/>
    </xf>
    <xf numFmtId="4" fontId="9" fillId="0" borderId="0" xfId="0" applyNumberFormat="1" applyFont="1" applyAlignment="1">
      <alignment horizontal="right"/>
    </xf>
    <xf numFmtId="4" fontId="60" fillId="34" borderId="0" xfId="0" applyNumberFormat="1" applyFont="1" applyFill="1" applyAlignment="1">
      <alignment horizontal="right"/>
    </xf>
    <xf numFmtId="0" fontId="9" fillId="0" borderId="0" xfId="0" applyFont="1" applyFill="1"/>
    <xf numFmtId="4" fontId="9" fillId="0" borderId="0" xfId="0" applyNumberFormat="1" applyFont="1" applyFill="1" applyAlignment="1">
      <alignment horizontal="right"/>
    </xf>
    <xf numFmtId="4" fontId="9" fillId="0" borderId="0" xfId="0" applyNumberFormat="1" applyFont="1" applyFill="1"/>
    <xf numFmtId="0" fontId="9" fillId="0" borderId="0" xfId="0" applyNumberFormat="1" applyFont="1" applyAlignment="1">
      <alignment horizontal="left"/>
    </xf>
    <xf numFmtId="49" fontId="61" fillId="34" borderId="0" xfId="0" applyNumberFormat="1" applyFont="1" applyFill="1" applyAlignment="1">
      <alignment horizontal="center"/>
    </xf>
    <xf numFmtId="49" fontId="26" fillId="0" borderId="0" xfId="0" applyNumberFormat="1" applyFont="1" applyAlignment="1">
      <alignment horizontal="left"/>
    </xf>
    <xf numFmtId="0" fontId="58" fillId="0" borderId="0" xfId="0" applyFont="1"/>
    <xf numFmtId="4" fontId="63" fillId="34" borderId="0" xfId="0" applyNumberFormat="1" applyFont="1" applyFill="1" applyBorder="1"/>
    <xf numFmtId="4" fontId="62" fillId="34" borderId="0" xfId="0" applyNumberFormat="1" applyFont="1" applyFill="1" applyBorder="1"/>
    <xf numFmtId="0" fontId="16" fillId="0" borderId="0" xfId="34" applyFont="1" applyAlignment="1">
      <alignment vertical="center"/>
    </xf>
    <xf numFmtId="0" fontId="3" fillId="31" borderId="12" xfId="0" applyFont="1" applyFill="1" applyBorder="1" applyAlignment="1" applyProtection="1">
      <alignment vertical="center"/>
    </xf>
    <xf numFmtId="0" fontId="21" fillId="31" borderId="12" xfId="0" applyFont="1" applyFill="1" applyBorder="1" applyAlignment="1" applyProtection="1">
      <alignment vertical="center"/>
    </xf>
    <xf numFmtId="0" fontId="20" fillId="31" borderId="12" xfId="0" applyFont="1" applyFill="1" applyBorder="1" applyAlignment="1" applyProtection="1">
      <alignment vertical="center"/>
    </xf>
    <xf numFmtId="0" fontId="9" fillId="31" borderId="12" xfId="0" applyFont="1" applyFill="1" applyBorder="1" applyAlignment="1" applyProtection="1">
      <alignment vertical="center"/>
    </xf>
    <xf numFmtId="0" fontId="26" fillId="31" borderId="12" xfId="0" applyFont="1" applyFill="1" applyBorder="1"/>
    <xf numFmtId="0" fontId="58" fillId="31" borderId="12" xfId="0" applyFont="1" applyFill="1" applyBorder="1"/>
    <xf numFmtId="4" fontId="58" fillId="31" borderId="12" xfId="0" applyNumberFormat="1" applyFont="1" applyFill="1" applyBorder="1"/>
    <xf numFmtId="4" fontId="26" fillId="31" borderId="12" xfId="0" applyNumberFormat="1" applyFont="1" applyFill="1" applyBorder="1" applyAlignment="1">
      <alignment horizontal="right"/>
    </xf>
    <xf numFmtId="0" fontId="3" fillId="31" borderId="12" xfId="0" applyFont="1" applyFill="1" applyBorder="1"/>
    <xf numFmtId="4" fontId="3" fillId="31" borderId="12" xfId="0" applyNumberFormat="1" applyFont="1" applyFill="1" applyBorder="1"/>
    <xf numFmtId="0" fontId="26" fillId="36" borderId="12" xfId="34" applyFont="1" applyFill="1" applyBorder="1" applyAlignment="1">
      <alignment vertical="center"/>
    </xf>
    <xf numFmtId="0" fontId="58" fillId="36" borderId="12" xfId="34" applyFont="1" applyFill="1" applyBorder="1" applyAlignment="1">
      <alignment vertical="center"/>
    </xf>
    <xf numFmtId="0" fontId="5" fillId="36" borderId="12" xfId="34" applyFont="1" applyFill="1" applyBorder="1" applyAlignment="1">
      <alignment horizontal="right" vertical="center"/>
    </xf>
    <xf numFmtId="0" fontId="9" fillId="37" borderId="10" xfId="0" applyFont="1" applyFill="1" applyBorder="1" applyAlignment="1" applyProtection="1">
      <alignment vertical="center"/>
    </xf>
    <xf numFmtId="2" fontId="24" fillId="0" borderId="16" xfId="34" applyNumberFormat="1" applyFont="1" applyBorder="1" applyAlignment="1">
      <alignment vertical="top" wrapText="1"/>
    </xf>
    <xf numFmtId="4" fontId="16" fillId="0" borderId="16" xfId="0" applyNumberFormat="1" applyFont="1" applyFill="1" applyBorder="1" applyAlignment="1">
      <alignment vertical="center"/>
    </xf>
    <xf numFmtId="4" fontId="37" fillId="0" borderId="0" xfId="0" applyNumberFormat="1" applyFont="1" applyFill="1"/>
    <xf numFmtId="9" fontId="9" fillId="0" borderId="11" xfId="0" applyNumberFormat="1" applyFont="1" applyFill="1" applyBorder="1" applyAlignment="1" applyProtection="1">
      <alignment vertical="center"/>
    </xf>
    <xf numFmtId="2" fontId="9" fillId="0" borderId="17" xfId="34" applyNumberFormat="1" applyFont="1" applyBorder="1" applyAlignment="1">
      <alignment horizontal="center" vertical="center" wrapText="1"/>
    </xf>
    <xf numFmtId="3" fontId="16" fillId="0" borderId="0" xfId="0" applyNumberFormat="1" applyFont="1" applyFill="1" applyBorder="1" applyAlignment="1">
      <alignment horizontal="center" vertical="center"/>
    </xf>
    <xf numFmtId="4" fontId="16" fillId="0" borderId="0" xfId="0" applyNumberFormat="1" applyFont="1" applyFill="1" applyBorder="1" applyAlignment="1" applyProtection="1">
      <alignment vertical="center"/>
    </xf>
    <xf numFmtId="3" fontId="3" fillId="0" borderId="10" xfId="0" applyNumberFormat="1" applyFont="1" applyFill="1" applyBorder="1" applyAlignment="1" applyProtection="1">
      <alignment vertical="center"/>
    </xf>
    <xf numFmtId="167" fontId="16" fillId="0" borderId="16" xfId="0" applyNumberFormat="1" applyFont="1" applyBorder="1" applyAlignment="1" applyProtection="1">
      <alignment vertical="center"/>
      <protection locked="0"/>
    </xf>
    <xf numFmtId="14" fontId="7" fillId="0" borderId="0" xfId="0" applyNumberFormat="1" applyFont="1" applyFill="1" applyBorder="1" applyAlignment="1" applyProtection="1">
      <alignment vertical="center"/>
    </xf>
    <xf numFmtId="3" fontId="16" fillId="0" borderId="16" xfId="0" applyNumberFormat="1" applyFont="1" applyBorder="1" applyAlignment="1">
      <alignment vertical="center"/>
    </xf>
    <xf numFmtId="0" fontId="16" fillId="0" borderId="16" xfId="0" applyNumberFormat="1" applyFont="1" applyBorder="1" applyAlignment="1" applyProtection="1">
      <alignment horizontal="right" vertical="center"/>
      <protection locked="0"/>
    </xf>
    <xf numFmtId="0" fontId="8" fillId="34" borderId="0" xfId="34" applyFill="1"/>
    <xf numFmtId="0" fontId="59" fillId="34" borderId="0" xfId="34" applyFont="1" applyFill="1" applyAlignment="1">
      <alignment vertical="center"/>
    </xf>
    <xf numFmtId="0" fontId="13" fillId="34" borderId="0" xfId="34" applyFont="1" applyFill="1" applyAlignment="1">
      <alignment vertical="center"/>
    </xf>
    <xf numFmtId="0" fontId="58" fillId="34" borderId="0" xfId="34" applyFont="1" applyFill="1" applyAlignment="1">
      <alignment vertical="center"/>
    </xf>
    <xf numFmtId="0" fontId="5" fillId="34" borderId="0" xfId="34" applyFont="1" applyFill="1"/>
    <xf numFmtId="0" fontId="5" fillId="34" borderId="0" xfId="34" applyFont="1" applyFill="1" applyAlignment="1">
      <alignment vertical="center"/>
    </xf>
    <xf numFmtId="0" fontId="57" fillId="34" borderId="0" xfId="34" applyFont="1" applyFill="1"/>
    <xf numFmtId="4" fontId="16" fillId="0" borderId="28" xfId="0" applyNumberFormat="1" applyFont="1" applyBorder="1" applyAlignment="1">
      <alignment vertical="center"/>
    </xf>
    <xf numFmtId="4" fontId="16" fillId="0" borderId="29" xfId="0" applyNumberFormat="1" applyFont="1" applyBorder="1" applyAlignment="1">
      <alignment vertical="center"/>
    </xf>
    <xf numFmtId="4" fontId="16" fillId="0" borderId="31" xfId="0" applyNumberFormat="1" applyFont="1" applyBorder="1" applyAlignment="1">
      <alignment vertical="center"/>
    </xf>
    <xf numFmtId="0" fontId="16" fillId="34" borderId="0" xfId="34" applyFont="1" applyFill="1" applyAlignment="1">
      <alignment vertical="center"/>
    </xf>
    <xf numFmtId="0" fontId="58" fillId="34" borderId="0" xfId="0" applyFont="1" applyFill="1"/>
    <xf numFmtId="0" fontId="9" fillId="34" borderId="0" xfId="0" applyFont="1" applyFill="1"/>
    <xf numFmtId="0" fontId="32" fillId="34" borderId="0" xfId="0" applyFont="1" applyFill="1" applyAlignment="1">
      <alignment vertical="center"/>
    </xf>
    <xf numFmtId="9" fontId="16" fillId="0" borderId="28" xfId="0" applyNumberFormat="1" applyFont="1" applyBorder="1" applyAlignment="1">
      <alignment vertical="center"/>
    </xf>
    <xf numFmtId="9" fontId="16" fillId="0" borderId="32" xfId="0" applyNumberFormat="1" applyFont="1" applyBorder="1" applyAlignment="1" applyProtection="1">
      <alignment vertical="center"/>
      <protection locked="0"/>
    </xf>
    <xf numFmtId="0" fontId="16" fillId="0" borderId="0" xfId="0" applyFont="1"/>
    <xf numFmtId="0" fontId="16" fillId="0" borderId="0" xfId="34" applyFont="1"/>
    <xf numFmtId="0" fontId="14" fillId="0" borderId="0" xfId="34" applyFont="1"/>
    <xf numFmtId="0" fontId="66" fillId="0" borderId="0" xfId="34" applyFont="1" applyFill="1" applyAlignment="1">
      <alignment vertical="center"/>
    </xf>
    <xf numFmtId="0" fontId="14" fillId="0" borderId="0" xfId="34" applyFont="1" applyAlignment="1">
      <alignment vertical="center"/>
    </xf>
    <xf numFmtId="0" fontId="14" fillId="0" borderId="0" xfId="34" applyFont="1" applyAlignment="1">
      <alignment vertical="top"/>
    </xf>
    <xf numFmtId="9" fontId="14" fillId="0" borderId="0" xfId="34" applyNumberFormat="1" applyFont="1" applyFill="1" applyAlignment="1">
      <alignment horizontal="left"/>
    </xf>
    <xf numFmtId="0" fontId="64" fillId="0" borderId="0" xfId="34" applyFont="1" applyAlignment="1">
      <alignment horizontal="right"/>
    </xf>
    <xf numFmtId="2" fontId="14" fillId="0" borderId="0" xfId="34" applyNumberFormat="1" applyFont="1"/>
    <xf numFmtId="0" fontId="35" fillId="0" borderId="0" xfId="0" applyFont="1" applyFill="1"/>
    <xf numFmtId="0" fontId="3" fillId="0" borderId="0" xfId="0" applyFont="1" applyFill="1" applyBorder="1" applyAlignment="1">
      <alignment horizontal="center" vertical="center"/>
    </xf>
    <xf numFmtId="1" fontId="0" fillId="0" borderId="0" xfId="0" applyNumberFormat="1" applyAlignment="1">
      <alignment vertical="center"/>
    </xf>
    <xf numFmtId="0" fontId="0" fillId="0" borderId="0" xfId="0" applyBorder="1" applyAlignment="1">
      <alignment vertical="center"/>
    </xf>
    <xf numFmtId="0" fontId="0" fillId="0" borderId="0" xfId="0" applyAlignment="1" applyProtection="1">
      <alignment vertical="center"/>
    </xf>
    <xf numFmtId="1" fontId="9" fillId="0" borderId="12" xfId="0" applyNumberFormat="1" applyFont="1" applyBorder="1" applyAlignment="1">
      <alignment horizontal="center" vertical="center"/>
    </xf>
    <xf numFmtId="0" fontId="9" fillId="0" borderId="0" xfId="0" applyFont="1" applyAlignment="1">
      <alignment horizontal="center" vertical="center"/>
    </xf>
    <xf numFmtId="1" fontId="9" fillId="0" borderId="10" xfId="0" applyNumberFormat="1" applyFont="1" applyBorder="1" applyAlignment="1">
      <alignment horizontal="center" vertical="center"/>
    </xf>
    <xf numFmtId="1" fontId="9" fillId="0" borderId="0" xfId="0" applyNumberFormat="1" applyFont="1" applyAlignment="1">
      <alignment horizontal="center" vertical="center"/>
    </xf>
    <xf numFmtId="0" fontId="9" fillId="0" borderId="12" xfId="0" applyFont="1" applyBorder="1" applyAlignment="1">
      <alignment vertical="center"/>
    </xf>
    <xf numFmtId="0" fontId="9" fillId="0" borderId="12" xfId="0" applyFont="1" applyBorder="1" applyAlignment="1">
      <alignment horizontal="right" vertical="center"/>
    </xf>
    <xf numFmtId="0" fontId="0" fillId="0" borderId="0" xfId="0" applyFill="1" applyBorder="1" applyAlignment="1" applyProtection="1">
      <alignment horizontal="center" vertical="center"/>
    </xf>
    <xf numFmtId="0" fontId="0" fillId="0" borderId="0" xfId="0" applyFill="1" applyAlignment="1" applyProtection="1">
      <alignment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3" fillId="30" borderId="33" xfId="0" applyFont="1" applyFill="1" applyBorder="1" applyAlignment="1" applyProtection="1">
      <alignment horizontal="center" vertical="center"/>
      <protection locked="0"/>
    </xf>
    <xf numFmtId="0" fontId="3" fillId="0" borderId="0" xfId="0" applyFont="1" applyAlignment="1" applyProtection="1">
      <alignment horizontal="right" vertical="center"/>
    </xf>
    <xf numFmtId="0" fontId="3" fillId="0" borderId="0" xfId="0" applyFont="1" applyAlignment="1">
      <alignment horizontal="right" vertical="center"/>
    </xf>
    <xf numFmtId="0" fontId="3" fillId="0" borderId="0" xfId="0" quotePrefix="1" applyFont="1" applyAlignment="1" applyProtection="1">
      <alignment horizontal="right" vertical="center"/>
    </xf>
    <xf numFmtId="1" fontId="9" fillId="0" borderId="12" xfId="0" applyNumberFormat="1" applyFont="1" applyBorder="1" applyAlignment="1">
      <alignment horizontal="right" vertical="center"/>
    </xf>
    <xf numFmtId="0" fontId="3" fillId="0" borderId="33" xfId="0" applyFont="1" applyFill="1" applyBorder="1" applyAlignment="1" applyProtection="1">
      <alignment horizontal="center" vertical="center"/>
    </xf>
    <xf numFmtId="1" fontId="9" fillId="0" borderId="12" xfId="0" applyNumberFormat="1" applyFont="1" applyBorder="1" applyAlignment="1">
      <alignment vertical="center"/>
    </xf>
    <xf numFmtId="0" fontId="3" fillId="0" borderId="33" xfId="0" applyFont="1" applyBorder="1" applyAlignment="1">
      <alignment horizontal="center" vertical="center"/>
    </xf>
    <xf numFmtId="0" fontId="3" fillId="31" borderId="12" xfId="0" applyFont="1" applyFill="1" applyBorder="1" applyAlignment="1">
      <alignment horizontal="right"/>
    </xf>
    <xf numFmtId="9" fontId="9" fillId="0" borderId="0" xfId="0" applyNumberFormat="1" applyFont="1"/>
    <xf numFmtId="0" fontId="9" fillId="0" borderId="0" xfId="0" applyFont="1" applyAlignment="1">
      <alignment horizontal="right"/>
    </xf>
    <xf numFmtId="0" fontId="7" fillId="0" borderId="12" xfId="34" applyFont="1" applyBorder="1" applyProtection="1">
      <protection locked="0"/>
    </xf>
    <xf numFmtId="0" fontId="67" fillId="0" borderId="0" xfId="34" applyFont="1" applyAlignment="1">
      <alignment horizontal="left"/>
    </xf>
    <xf numFmtId="0" fontId="7" fillId="0" borderId="30" xfId="34" applyFont="1" applyFill="1" applyBorder="1" applyProtection="1">
      <protection locked="0"/>
    </xf>
    <xf numFmtId="0" fontId="7" fillId="0" borderId="31" xfId="34" applyFont="1" applyFill="1" applyBorder="1" applyProtection="1">
      <protection locked="0"/>
    </xf>
    <xf numFmtId="0" fontId="9" fillId="0" borderId="0" xfId="34" applyFont="1" applyAlignment="1">
      <alignment wrapText="1"/>
    </xf>
    <xf numFmtId="0" fontId="9" fillId="0" borderId="0" xfId="34" applyFont="1" applyAlignment="1"/>
    <xf numFmtId="0" fontId="8" fillId="0" borderId="0" xfId="34" applyAlignment="1">
      <alignment horizontal="left" vertical="center"/>
    </xf>
    <xf numFmtId="0" fontId="8" fillId="34" borderId="0" xfId="34" applyFill="1" applyAlignment="1">
      <alignment horizontal="left" vertical="center"/>
    </xf>
    <xf numFmtId="0" fontId="14" fillId="0" borderId="0" xfId="34" applyFont="1" applyAlignment="1">
      <alignment horizontal="left" vertical="center"/>
    </xf>
    <xf numFmtId="0" fontId="9" fillId="0" borderId="0" xfId="34" applyFont="1" applyAlignment="1">
      <alignment horizontal="left" vertical="center"/>
    </xf>
    <xf numFmtId="0" fontId="9" fillId="0" borderId="0" xfId="34" applyFont="1" applyFill="1" applyBorder="1" applyAlignment="1">
      <alignment horizontal="left" vertical="center"/>
    </xf>
    <xf numFmtId="167" fontId="9" fillId="0" borderId="0" xfId="34" applyNumberFormat="1" applyFont="1" applyAlignment="1">
      <alignment horizontal="left" vertical="center"/>
    </xf>
    <xf numFmtId="4" fontId="37" fillId="34" borderId="0" xfId="0" applyNumberFormat="1" applyFont="1" applyFill="1" applyAlignment="1">
      <alignment vertical="center"/>
    </xf>
    <xf numFmtId="3" fontId="9" fillId="0" borderId="10" xfId="0" applyNumberFormat="1" applyFont="1" applyFill="1" applyBorder="1" applyAlignment="1" applyProtection="1">
      <alignment vertical="center"/>
    </xf>
    <xf numFmtId="0" fontId="9" fillId="0" borderId="0" xfId="0" applyFont="1" applyAlignment="1" applyProtection="1">
      <alignment vertical="center"/>
      <protection locked="0"/>
    </xf>
    <xf numFmtId="0" fontId="3" fillId="31" borderId="0" xfId="34" applyFont="1" applyFill="1" applyAlignment="1">
      <alignment vertical="center"/>
    </xf>
    <xf numFmtId="0" fontId="26" fillId="34" borderId="0" xfId="34" applyFont="1" applyFill="1" applyAlignment="1">
      <alignment vertical="center"/>
    </xf>
    <xf numFmtId="0" fontId="13" fillId="0" borderId="0" xfId="34" applyFont="1" applyAlignment="1">
      <alignment vertical="center"/>
    </xf>
    <xf numFmtId="0" fontId="26" fillId="0" borderId="0" xfId="34" applyFont="1" applyAlignment="1">
      <alignment vertical="center"/>
    </xf>
    <xf numFmtId="0" fontId="16" fillId="0" borderId="12" xfId="34" applyFont="1" applyFill="1" applyBorder="1" applyAlignment="1">
      <alignment horizontal="left" vertical="center"/>
    </xf>
    <xf numFmtId="0" fontId="16" fillId="0" borderId="12" xfId="34" applyFont="1" applyBorder="1" applyAlignment="1">
      <alignment vertical="center"/>
    </xf>
    <xf numFmtId="0" fontId="16" fillId="0" borderId="12" xfId="34" applyFont="1" applyBorder="1" applyAlignment="1">
      <alignment horizontal="right" vertical="center"/>
    </xf>
    <xf numFmtId="0" fontId="16" fillId="0" borderId="12" xfId="34" applyFont="1" applyFill="1" applyBorder="1" applyAlignment="1">
      <alignment horizontal="right" vertical="center"/>
    </xf>
    <xf numFmtId="0" fontId="16" fillId="0" borderId="12" xfId="34" applyFont="1" applyBorder="1" applyAlignment="1">
      <alignment horizontal="left" vertical="center"/>
    </xf>
    <xf numFmtId="0" fontId="16" fillId="38" borderId="12" xfId="34" applyFont="1" applyFill="1" applyBorder="1" applyAlignment="1">
      <alignment horizontal="left" vertical="center"/>
    </xf>
    <xf numFmtId="0" fontId="64" fillId="0" borderId="11" xfId="34" applyFont="1" applyFill="1" applyBorder="1" applyAlignment="1">
      <alignment horizontal="left" vertical="center"/>
    </xf>
    <xf numFmtId="0" fontId="64" fillId="0" borderId="11" xfId="34" applyFont="1" applyBorder="1" applyAlignment="1">
      <alignment vertical="center"/>
    </xf>
    <xf numFmtId="0" fontId="64" fillId="38" borderId="11" xfId="34" applyFont="1" applyFill="1" applyBorder="1" applyAlignment="1">
      <alignment vertical="center"/>
    </xf>
    <xf numFmtId="0" fontId="64" fillId="0" borderId="11" xfId="34" applyFont="1" applyFill="1" applyBorder="1" applyAlignment="1">
      <alignment horizontal="right" vertical="center"/>
    </xf>
    <xf numFmtId="0" fontId="64" fillId="0" borderId="11" xfId="34" applyFont="1" applyFill="1" applyBorder="1" applyAlignment="1">
      <alignment vertical="center"/>
    </xf>
    <xf numFmtId="49" fontId="3" fillId="0" borderId="0" xfId="0" applyNumberFormat="1" applyFont="1" applyFill="1" applyAlignment="1">
      <alignment horizontal="right"/>
    </xf>
    <xf numFmtId="14" fontId="64" fillId="38" borderId="11" xfId="34" applyNumberFormat="1" applyFont="1" applyFill="1" applyBorder="1" applyAlignment="1">
      <alignment horizontal="left" vertical="center"/>
    </xf>
    <xf numFmtId="1" fontId="16" fillId="38" borderId="12" xfId="34" applyNumberFormat="1" applyFont="1" applyFill="1" applyBorder="1" applyAlignment="1">
      <alignment horizontal="left" vertical="center"/>
    </xf>
    <xf numFmtId="0" fontId="7" fillId="0" borderId="0" xfId="34" applyFont="1" applyFill="1"/>
    <xf numFmtId="0" fontId="64" fillId="38" borderId="11" xfId="34" applyFont="1" applyFill="1" applyBorder="1" applyAlignment="1">
      <alignment horizontal="left" vertical="center"/>
    </xf>
    <xf numFmtId="0" fontId="64" fillId="0" borderId="11" xfId="34" applyFont="1" applyBorder="1" applyAlignment="1">
      <alignment horizontal="left" vertical="center"/>
    </xf>
    <xf numFmtId="0" fontId="23" fillId="0" borderId="0" xfId="34" applyFont="1" applyAlignment="1">
      <alignment horizontal="right"/>
    </xf>
    <xf numFmtId="0" fontId="16" fillId="38" borderId="12" xfId="34" applyFont="1" applyFill="1" applyBorder="1" applyAlignment="1">
      <alignment vertical="center"/>
    </xf>
    <xf numFmtId="0" fontId="8" fillId="0" borderId="12" xfId="34" applyBorder="1"/>
    <xf numFmtId="4" fontId="3" fillId="0" borderId="12" xfId="34" applyNumberFormat="1" applyFont="1" applyBorder="1" applyAlignment="1">
      <alignment horizontal="right" vertical="top"/>
    </xf>
    <xf numFmtId="0" fontId="64" fillId="0" borderId="0" xfId="34" applyFont="1" applyBorder="1"/>
    <xf numFmtId="0" fontId="64" fillId="0" borderId="0" xfId="34" applyFont="1" applyBorder="1" applyAlignment="1">
      <alignment horizontal="right"/>
    </xf>
    <xf numFmtId="1" fontId="16" fillId="0" borderId="12" xfId="34" applyNumberFormat="1" applyFont="1" applyBorder="1" applyAlignment="1">
      <alignment horizontal="left" vertical="center"/>
    </xf>
    <xf numFmtId="0" fontId="9" fillId="0" borderId="0" xfId="34" applyFont="1" applyFill="1"/>
    <xf numFmtId="0" fontId="22" fillId="0" borderId="0" xfId="0" applyFont="1" applyFill="1" applyBorder="1" applyAlignment="1" applyProtection="1">
      <alignment vertical="center"/>
    </xf>
    <xf numFmtId="1" fontId="9" fillId="0" borderId="0" xfId="0" applyNumberFormat="1" applyFont="1" applyFill="1" applyAlignment="1" applyProtection="1">
      <alignment horizontal="left" vertical="center"/>
    </xf>
    <xf numFmtId="0" fontId="15" fillId="26" borderId="0" xfId="0" applyFont="1" applyFill="1" applyAlignment="1" applyProtection="1">
      <alignment horizontal="right" vertical="center"/>
      <protection locked="0"/>
    </xf>
    <xf numFmtId="0" fontId="0" fillId="25" borderId="0" xfId="0" applyFill="1" applyAlignment="1" applyProtection="1">
      <alignment vertical="center"/>
    </xf>
    <xf numFmtId="0" fontId="71" fillId="25" borderId="0" xfId="0" applyFont="1" applyFill="1" applyAlignment="1" applyProtection="1">
      <alignment vertical="center"/>
    </xf>
    <xf numFmtId="0" fontId="9" fillId="26" borderId="0" xfId="0" applyFont="1" applyFill="1" applyAlignment="1" applyProtection="1">
      <alignment horizontal="right" vertical="center"/>
      <protection locked="0"/>
    </xf>
    <xf numFmtId="0" fontId="9" fillId="25" borderId="0" xfId="0" applyFont="1" applyFill="1" applyAlignment="1" applyProtection="1">
      <alignment vertical="center"/>
    </xf>
    <xf numFmtId="0" fontId="72" fillId="25" borderId="0" xfId="0" applyFont="1" applyFill="1" applyAlignment="1" applyProtection="1">
      <alignment vertical="center"/>
    </xf>
    <xf numFmtId="0" fontId="3" fillId="25" borderId="0" xfId="0" quotePrefix="1" applyFont="1" applyFill="1" applyAlignment="1" applyProtection="1">
      <alignment vertical="center"/>
    </xf>
    <xf numFmtId="0" fontId="15" fillId="25" borderId="0" xfId="0" applyFont="1" applyFill="1" applyAlignment="1" applyProtection="1">
      <alignment vertical="center"/>
    </xf>
    <xf numFmtId="0" fontId="9" fillId="0" borderId="0" xfId="0" applyFont="1" applyFill="1" applyAlignment="1" applyProtection="1">
      <alignment vertical="center"/>
      <protection locked="0"/>
    </xf>
    <xf numFmtId="1" fontId="9" fillId="24" borderId="0" xfId="0" applyNumberFormat="1" applyFont="1" applyFill="1" applyBorder="1" applyAlignment="1" applyProtection="1">
      <alignment vertical="center"/>
      <protection locked="0"/>
    </xf>
    <xf numFmtId="1" fontId="9" fillId="24" borderId="0" xfId="0" applyNumberFormat="1" applyFont="1" applyFill="1" applyAlignment="1" applyProtection="1">
      <alignment vertical="center"/>
      <protection locked="0"/>
    </xf>
    <xf numFmtId="0" fontId="15" fillId="39" borderId="0" xfId="0" applyFont="1" applyFill="1" applyAlignment="1" applyProtection="1">
      <alignment vertical="center"/>
      <protection locked="0"/>
    </xf>
    <xf numFmtId="1" fontId="9" fillId="39" borderId="0" xfId="0" applyNumberFormat="1" applyFont="1" applyFill="1" applyAlignment="1" applyProtection="1">
      <alignment vertical="center"/>
      <protection locked="0"/>
    </xf>
    <xf numFmtId="1" fontId="9" fillId="39" borderId="0" xfId="0" applyNumberFormat="1" applyFont="1" applyFill="1" applyAlignment="1" applyProtection="1">
      <alignment horizontal="right" vertical="center"/>
      <protection locked="0"/>
    </xf>
    <xf numFmtId="1" fontId="15" fillId="39" borderId="0" xfId="0" applyNumberFormat="1" applyFont="1" applyFill="1" applyBorder="1" applyAlignment="1" applyProtection="1">
      <alignment vertical="center"/>
      <protection locked="0"/>
    </xf>
    <xf numFmtId="0" fontId="3" fillId="25" borderId="33" xfId="0" applyFont="1" applyFill="1" applyBorder="1" applyAlignment="1" applyProtection="1">
      <alignment vertical="center"/>
    </xf>
    <xf numFmtId="0" fontId="23" fillId="25" borderId="33" xfId="34" applyFont="1" applyFill="1" applyBorder="1" applyAlignment="1">
      <alignment horizontal="right"/>
    </xf>
    <xf numFmtId="0" fontId="0" fillId="0" borderId="0" xfId="0" applyAlignment="1">
      <alignment horizontal="left"/>
    </xf>
    <xf numFmtId="167" fontId="74" fillId="0" borderId="0" xfId="0" applyNumberFormat="1" applyFont="1" applyAlignment="1">
      <alignment horizontal="right"/>
    </xf>
    <xf numFmtId="166" fontId="16" fillId="0" borderId="0" xfId="0" applyNumberFormat="1" applyFont="1"/>
    <xf numFmtId="4" fontId="16" fillId="0" borderId="0" xfId="0" applyNumberFormat="1" applyFont="1" applyAlignment="1">
      <alignment horizontal="right"/>
    </xf>
    <xf numFmtId="0" fontId="64" fillId="0" borderId="0" xfId="0" applyFont="1"/>
    <xf numFmtId="14" fontId="64" fillId="0" borderId="0" xfId="0" applyNumberFormat="1" applyFont="1" applyAlignment="1"/>
    <xf numFmtId="3" fontId="16" fillId="0" borderId="0" xfId="0" applyNumberFormat="1" applyFont="1" applyAlignment="1">
      <alignment horizontal="right"/>
    </xf>
    <xf numFmtId="3" fontId="16" fillId="0" borderId="0" xfId="34" applyNumberFormat="1" applyFont="1" applyAlignment="1">
      <alignment vertical="center"/>
    </xf>
    <xf numFmtId="4" fontId="16" fillId="0" borderId="13" xfId="0" applyNumberFormat="1" applyFont="1" applyBorder="1" applyAlignment="1">
      <alignment vertical="center"/>
    </xf>
    <xf numFmtId="0" fontId="0" fillId="0" borderId="0" xfId="0" applyAlignment="1">
      <alignment horizontal="center"/>
    </xf>
    <xf numFmtId="0" fontId="3" fillId="0" borderId="0" xfId="0" applyFont="1" applyAlignment="1">
      <alignment horizontal="left"/>
    </xf>
    <xf numFmtId="0" fontId="3" fillId="0" borderId="0" xfId="0" applyFont="1" applyAlignment="1">
      <alignment horizontal="right"/>
    </xf>
    <xf numFmtId="1" fontId="0" fillId="24" borderId="0" xfId="0" applyNumberFormat="1" applyFill="1"/>
    <xf numFmtId="0" fontId="0" fillId="24" borderId="0" xfId="0" applyFill="1"/>
    <xf numFmtId="1" fontId="0" fillId="24" borderId="0" xfId="0" applyNumberFormat="1" applyFill="1" applyAlignment="1">
      <alignment vertical="center"/>
    </xf>
    <xf numFmtId="1" fontId="0" fillId="24" borderId="19" xfId="0" applyNumberFormat="1" applyFill="1" applyBorder="1"/>
    <xf numFmtId="0" fontId="0" fillId="24" borderId="19" xfId="0" applyFill="1" applyBorder="1"/>
    <xf numFmtId="0" fontId="0" fillId="24" borderId="0" xfId="0" applyFill="1" applyBorder="1"/>
    <xf numFmtId="0" fontId="0" fillId="24" borderId="0" xfId="0" applyFill="1" applyAlignment="1">
      <alignment horizontal="left"/>
    </xf>
    <xf numFmtId="0" fontId="3" fillId="30" borderId="33" xfId="0" applyFont="1" applyFill="1" applyBorder="1" applyAlignment="1">
      <alignment horizontal="center"/>
    </xf>
    <xf numFmtId="1" fontId="0" fillId="0" borderId="12" xfId="0" applyNumberFormat="1" applyBorder="1"/>
    <xf numFmtId="0" fontId="0" fillId="0" borderId="12" xfId="0" applyBorder="1"/>
    <xf numFmtId="1" fontId="0" fillId="0" borderId="10" xfId="0" applyNumberFormat="1" applyBorder="1"/>
    <xf numFmtId="0" fontId="0" fillId="0" borderId="10" xfId="0" applyBorder="1"/>
    <xf numFmtId="1" fontId="0" fillId="24" borderId="0" xfId="0" applyNumberFormat="1" applyFill="1" applyAlignment="1">
      <alignment horizontal="left"/>
    </xf>
    <xf numFmtId="0" fontId="20" fillId="0" borderId="12" xfId="0" applyFont="1" applyFill="1" applyBorder="1" applyAlignment="1" applyProtection="1">
      <alignment vertical="center"/>
    </xf>
    <xf numFmtId="0" fontId="13"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30" fillId="0" borderId="0" xfId="0" applyFont="1" applyFill="1" applyAlignment="1" applyProtection="1">
      <alignment vertical="center"/>
    </xf>
    <xf numFmtId="167" fontId="9" fillId="0" borderId="10" xfId="0" applyNumberFormat="1" applyFont="1" applyFill="1" applyBorder="1" applyAlignment="1" applyProtection="1">
      <alignment horizontal="center" vertical="center"/>
      <protection locked="0"/>
    </xf>
    <xf numFmtId="0" fontId="70" fillId="0" borderId="0" xfId="0" applyFont="1" applyFill="1" applyBorder="1" applyAlignment="1" applyProtection="1">
      <alignment vertical="center"/>
    </xf>
    <xf numFmtId="0" fontId="22" fillId="0" borderId="0" xfId="0" applyFont="1" applyFill="1" applyAlignment="1" applyProtection="1">
      <alignment vertical="center"/>
    </xf>
    <xf numFmtId="167" fontId="9" fillId="0" borderId="10" xfId="0" applyNumberFormat="1" applyFont="1" applyFill="1" applyBorder="1" applyAlignment="1" applyProtection="1">
      <alignment horizontal="center" vertical="center"/>
    </xf>
    <xf numFmtId="0" fontId="24" fillId="0" borderId="0" xfId="0" applyFont="1" applyFill="1" applyAlignment="1" applyProtection="1">
      <alignment vertical="center"/>
    </xf>
    <xf numFmtId="167" fontId="24" fillId="0" borderId="0" xfId="0" applyNumberFormat="1" applyFont="1" applyFill="1" applyAlignment="1" applyProtection="1">
      <alignment vertical="center"/>
    </xf>
    <xf numFmtId="0" fontId="9" fillId="0" borderId="12" xfId="0" applyFont="1" applyFill="1" applyBorder="1" applyAlignment="1" applyProtection="1">
      <alignment horizontal="right" vertical="center"/>
    </xf>
    <xf numFmtId="0" fontId="25" fillId="0" borderId="0" xfId="0" applyFont="1" applyFill="1" applyAlignment="1" applyProtection="1">
      <alignment vertical="center"/>
    </xf>
    <xf numFmtId="0" fontId="73" fillId="0" borderId="0" xfId="0" applyFont="1" applyFill="1" applyAlignment="1" applyProtection="1">
      <alignment horizontal="left" vertical="center"/>
    </xf>
    <xf numFmtId="0" fontId="24" fillId="0" borderId="0" xfId="0" applyFont="1" applyFill="1" applyAlignment="1" applyProtection="1">
      <alignment horizontal="left" vertical="center"/>
    </xf>
    <xf numFmtId="0" fontId="55" fillId="0" borderId="0" xfId="0" applyFont="1" applyFill="1" applyBorder="1" applyAlignment="1" applyProtection="1">
      <alignment vertical="center"/>
    </xf>
    <xf numFmtId="4" fontId="9" fillId="0" borderId="10" xfId="0" applyNumberFormat="1" applyFont="1" applyFill="1" applyBorder="1" applyAlignment="1" applyProtection="1">
      <alignment vertical="center"/>
    </xf>
    <xf numFmtId="4" fontId="9" fillId="0" borderId="0" xfId="0" applyNumberFormat="1" applyFont="1" applyFill="1" applyAlignment="1" applyProtection="1">
      <alignment vertical="center"/>
    </xf>
    <xf numFmtId="2" fontId="9" fillId="0" borderId="10" xfId="0" applyNumberFormat="1" applyFont="1" applyFill="1" applyBorder="1" applyAlignment="1" applyProtection="1">
      <alignment vertical="center"/>
    </xf>
    <xf numFmtId="0" fontId="10" fillId="0" borderId="10" xfId="0" applyFont="1" applyFill="1" applyBorder="1" applyAlignment="1" applyProtection="1">
      <alignment horizontal="right" vertical="center"/>
    </xf>
    <xf numFmtId="4" fontId="3" fillId="0" borderId="11" xfId="0" applyNumberFormat="1" applyFont="1" applyFill="1" applyBorder="1" applyAlignment="1" applyProtection="1">
      <alignment vertical="center"/>
    </xf>
    <xf numFmtId="0" fontId="21" fillId="0" borderId="12" xfId="0" applyFont="1" applyFill="1" applyBorder="1" applyAlignment="1" applyProtection="1">
      <alignment vertical="center"/>
    </xf>
    <xf numFmtId="4" fontId="21" fillId="0" borderId="12" xfId="0" applyNumberFormat="1" applyFont="1" applyFill="1" applyBorder="1" applyAlignment="1" applyProtection="1">
      <alignment vertical="center"/>
    </xf>
    <xf numFmtId="4" fontId="9" fillId="0" borderId="10" xfId="0" applyNumberFormat="1" applyFont="1" applyFill="1" applyBorder="1" applyAlignment="1" applyProtection="1">
      <alignment vertical="center"/>
      <protection locked="0"/>
    </xf>
    <xf numFmtId="0" fontId="9" fillId="0" borderId="10" xfId="0" applyFont="1" applyFill="1" applyBorder="1" applyAlignment="1" applyProtection="1">
      <alignment horizontal="center" vertical="center"/>
    </xf>
    <xf numFmtId="10" fontId="9" fillId="0" borderId="0" xfId="0" applyNumberFormat="1" applyFont="1" applyFill="1" applyBorder="1" applyAlignment="1" applyProtection="1">
      <alignment vertical="center"/>
      <protection locked="0"/>
    </xf>
    <xf numFmtId="0" fontId="16" fillId="0" borderId="0" xfId="0" quotePrefix="1" applyFont="1" applyFill="1" applyAlignment="1" applyProtection="1">
      <alignment vertical="center"/>
    </xf>
    <xf numFmtId="1" fontId="9" fillId="0" borderId="0" xfId="0" applyNumberFormat="1" applyFont="1" applyFill="1" applyBorder="1" applyAlignment="1" applyProtection="1">
      <alignment vertical="center"/>
    </xf>
    <xf numFmtId="1" fontId="16" fillId="0" borderId="0" xfId="0" applyNumberFormat="1" applyFont="1" applyFill="1" applyAlignment="1" applyProtection="1">
      <alignment vertical="center"/>
    </xf>
    <xf numFmtId="10" fontId="13" fillId="0" borderId="10" xfId="0" applyNumberFormat="1" applyFont="1" applyFill="1" applyBorder="1" applyAlignment="1" applyProtection="1">
      <alignment horizontal="right" vertical="center"/>
    </xf>
    <xf numFmtId="3" fontId="9" fillId="0" borderId="12" xfId="0" applyNumberFormat="1" applyFont="1" applyFill="1" applyBorder="1" applyAlignment="1" applyProtection="1">
      <alignment vertical="center"/>
    </xf>
    <xf numFmtId="3" fontId="16" fillId="0" borderId="10" xfId="0" applyNumberFormat="1" applyFont="1" applyFill="1" applyBorder="1" applyAlignment="1" applyProtection="1">
      <alignment vertical="center"/>
    </xf>
    <xf numFmtId="165" fontId="9" fillId="0" borderId="10" xfId="0" applyNumberFormat="1" applyFont="1" applyFill="1" applyBorder="1" applyAlignment="1" applyProtection="1">
      <alignment vertical="center"/>
    </xf>
    <xf numFmtId="3" fontId="16" fillId="0" borderId="0" xfId="0" applyNumberFormat="1" applyFont="1" applyFill="1" applyAlignment="1" applyProtection="1">
      <alignment vertical="center"/>
    </xf>
    <xf numFmtId="0" fontId="16" fillId="0" borderId="0" xfId="0" applyFont="1" applyFill="1" applyAlignment="1" applyProtection="1">
      <alignment horizontal="right" vertical="center"/>
    </xf>
    <xf numFmtId="167" fontId="75" fillId="40" borderId="10" xfId="0" applyNumberFormat="1" applyFont="1" applyFill="1" applyBorder="1" applyAlignment="1" applyProtection="1">
      <alignment horizontal="center" vertical="center"/>
      <protection locked="0"/>
    </xf>
    <xf numFmtId="3" fontId="75" fillId="40" borderId="10" xfId="0" applyNumberFormat="1" applyFont="1" applyFill="1" applyBorder="1" applyAlignment="1" applyProtection="1">
      <alignment vertical="center"/>
      <protection locked="0"/>
    </xf>
    <xf numFmtId="0" fontId="76" fillId="40" borderId="0" xfId="0" applyFont="1" applyFill="1" applyAlignment="1" applyProtection="1">
      <alignment vertical="center"/>
      <protection locked="0"/>
    </xf>
    <xf numFmtId="1" fontId="76" fillId="40" borderId="0" xfId="0" applyNumberFormat="1" applyFont="1" applyFill="1" applyAlignment="1" applyProtection="1">
      <alignment vertical="center"/>
      <protection locked="0"/>
    </xf>
    <xf numFmtId="9" fontId="25" fillId="40" borderId="0" xfId="0" applyNumberFormat="1" applyFont="1" applyFill="1" applyBorder="1" applyAlignment="1" applyProtection="1">
      <alignment vertical="center"/>
      <protection locked="0"/>
    </xf>
    <xf numFmtId="0" fontId="77" fillId="0" borderId="0" xfId="0" applyFont="1" applyAlignment="1">
      <alignment horizontal="left"/>
    </xf>
    <xf numFmtId="9" fontId="75" fillId="40" borderId="10" xfId="0" applyNumberFormat="1" applyFont="1" applyFill="1" applyBorder="1" applyAlignment="1" applyProtection="1">
      <alignment vertical="center"/>
      <protection locked="0"/>
    </xf>
    <xf numFmtId="4" fontId="0" fillId="0" borderId="0" xfId="0" applyNumberFormat="1"/>
    <xf numFmtId="0" fontId="0" fillId="41" borderId="0" xfId="0" applyFill="1"/>
    <xf numFmtId="0" fontId="15" fillId="0" borderId="0" xfId="0" applyFont="1" applyAlignment="1">
      <alignment horizontal="right"/>
    </xf>
    <xf numFmtId="0" fontId="16" fillId="0" borderId="17" xfId="0" applyFont="1" applyBorder="1" applyAlignment="1" applyProtection="1">
      <alignment vertical="center"/>
      <protection locked="0"/>
    </xf>
    <xf numFmtId="1" fontId="34" fillId="0" borderId="0" xfId="0" applyNumberFormat="1" applyFont="1" applyFill="1" applyBorder="1" applyAlignment="1" applyProtection="1">
      <alignment vertical="center"/>
      <protection locked="0"/>
    </xf>
    <xf numFmtId="0" fontId="13" fillId="0" borderId="33" xfId="0" applyFont="1" applyFill="1" applyBorder="1" applyAlignment="1">
      <alignment vertical="center"/>
    </xf>
    <xf numFmtId="0" fontId="34" fillId="0" borderId="34" xfId="0" applyFont="1" applyFill="1" applyBorder="1" applyAlignment="1">
      <alignment vertical="center"/>
    </xf>
    <xf numFmtId="0" fontId="34" fillId="0" borderId="35" xfId="0" applyFont="1" applyFill="1" applyBorder="1" applyAlignment="1">
      <alignment vertical="center"/>
    </xf>
    <xf numFmtId="0" fontId="34" fillId="0" borderId="36" xfId="0" applyFont="1" applyFill="1" applyBorder="1" applyAlignment="1">
      <alignment vertical="center"/>
    </xf>
    <xf numFmtId="0" fontId="16" fillId="0" borderId="34" xfId="0" applyFont="1" applyFill="1" applyBorder="1" applyAlignment="1">
      <alignment vertical="center"/>
    </xf>
    <xf numFmtId="49" fontId="16" fillId="0" borderId="0" xfId="0" applyNumberFormat="1" applyFont="1" applyFill="1"/>
    <xf numFmtId="0" fontId="16" fillId="0" borderId="36" xfId="0" applyFont="1" applyFill="1" applyBorder="1" applyAlignment="1">
      <alignment vertical="center"/>
    </xf>
    <xf numFmtId="3" fontId="16" fillId="0" borderId="0" xfId="0" applyNumberFormat="1" applyFont="1" applyFill="1" applyAlignment="1">
      <alignment vertical="center"/>
    </xf>
    <xf numFmtId="3" fontId="16" fillId="0" borderId="0" xfId="0" applyNumberFormat="1" applyFont="1" applyFill="1" applyAlignment="1">
      <alignment horizontal="left" vertical="center"/>
    </xf>
    <xf numFmtId="1" fontId="16" fillId="0" borderId="0" xfId="0" applyNumberFormat="1" applyFont="1" applyFill="1" applyAlignment="1">
      <alignment horizontal="left" vertical="center"/>
    </xf>
    <xf numFmtId="0" fontId="16" fillId="0" borderId="35" xfId="0" applyFont="1" applyFill="1" applyBorder="1" applyAlignment="1">
      <alignment vertical="center"/>
    </xf>
    <xf numFmtId="9" fontId="16" fillId="0" borderId="0" xfId="0" applyNumberFormat="1" applyFont="1" applyFill="1" applyAlignment="1">
      <alignment vertical="center"/>
    </xf>
    <xf numFmtId="9" fontId="16" fillId="0" borderId="0" xfId="0" applyNumberFormat="1" applyFont="1" applyFill="1" applyAlignment="1">
      <alignment horizontal="left" vertical="center"/>
    </xf>
    <xf numFmtId="0" fontId="16" fillId="0" borderId="35" xfId="0" quotePrefix="1"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vertical="center"/>
    </xf>
    <xf numFmtId="49" fontId="16" fillId="0" borderId="0" xfId="0" applyNumberFormat="1" applyFont="1" applyFill="1" applyBorder="1" applyAlignment="1">
      <alignment vertical="center"/>
    </xf>
    <xf numFmtId="1" fontId="34" fillId="0" borderId="34" xfId="0" applyNumberFormat="1" applyFont="1" applyFill="1" applyBorder="1" applyAlignment="1" applyProtection="1">
      <alignment vertical="center"/>
      <protection locked="0"/>
    </xf>
    <xf numFmtId="0" fontId="34" fillId="0" borderId="0" xfId="0" applyFont="1" applyFill="1" applyBorder="1" applyAlignment="1">
      <alignment vertical="center"/>
    </xf>
    <xf numFmtId="4" fontId="16" fillId="0" borderId="10" xfId="0" applyNumberFormat="1" applyFont="1" applyFill="1" applyBorder="1" applyAlignment="1">
      <alignment vertical="center"/>
    </xf>
    <xf numFmtId="3" fontId="16" fillId="0" borderId="16" xfId="0" applyNumberFormat="1" applyFont="1" applyFill="1" applyBorder="1" applyAlignment="1" applyProtection="1">
      <alignment vertical="center"/>
      <protection locked="0"/>
    </xf>
    <xf numFmtId="0" fontId="13" fillId="0" borderId="37" xfId="0" applyFont="1" applyFill="1" applyBorder="1" applyAlignment="1" applyProtection="1">
      <alignment vertical="center"/>
      <protection locked="0"/>
    </xf>
    <xf numFmtId="1" fontId="16" fillId="0" borderId="0" xfId="0" applyNumberFormat="1" applyFont="1" applyFill="1" applyAlignment="1" applyProtection="1">
      <alignment vertical="center"/>
      <protection locked="0"/>
    </xf>
    <xf numFmtId="0" fontId="3" fillId="0" borderId="0" xfId="0" applyFont="1" applyBorder="1" applyAlignment="1">
      <alignment horizontal="center"/>
    </xf>
    <xf numFmtId="0" fontId="78" fillId="0" borderId="0" xfId="0" applyFont="1" applyAlignment="1">
      <alignment horizontal="center" vertical="top"/>
    </xf>
    <xf numFmtId="2" fontId="8" fillId="0" borderId="0" xfId="34" applyNumberFormat="1"/>
    <xf numFmtId="168" fontId="8" fillId="0" borderId="0" xfId="34" applyNumberFormat="1"/>
    <xf numFmtId="10" fontId="0" fillId="0" borderId="0" xfId="0" applyNumberFormat="1" applyAlignment="1">
      <alignment horizontal="right"/>
    </xf>
    <xf numFmtId="0" fontId="9" fillId="0" borderId="0" xfId="0" applyFont="1" applyFill="1" applyBorder="1"/>
    <xf numFmtId="0" fontId="25" fillId="0" borderId="0" xfId="0" applyFont="1"/>
    <xf numFmtId="14" fontId="0" fillId="0" borderId="0" xfId="0" applyNumberFormat="1" applyAlignment="1">
      <alignment horizontal="left"/>
    </xf>
    <xf numFmtId="0" fontId="0" fillId="30" borderId="38" xfId="0" applyFill="1" applyBorder="1" applyAlignment="1" applyProtection="1">
      <alignment horizontal="center"/>
      <protection locked="0"/>
    </xf>
    <xf numFmtId="0" fontId="3" fillId="0" borderId="0" xfId="0" applyFont="1" applyAlignment="1">
      <alignment textRotation="90"/>
    </xf>
    <xf numFmtId="0" fontId="0" fillId="40" borderId="0" xfId="0" applyFill="1"/>
    <xf numFmtId="0" fontId="79" fillId="42" borderId="39" xfId="0" applyFont="1" applyFill="1" applyBorder="1" applyAlignment="1">
      <alignment horizontal="center"/>
    </xf>
    <xf numFmtId="0" fontId="79" fillId="42" borderId="40" xfId="0" applyFont="1" applyFill="1" applyBorder="1" applyAlignment="1">
      <alignment horizontal="center"/>
    </xf>
    <xf numFmtId="0" fontId="81" fillId="0" borderId="0" xfId="0" applyFont="1"/>
    <xf numFmtId="0" fontId="0" fillId="30" borderId="41" xfId="0" applyFill="1" applyBorder="1" applyAlignment="1" applyProtection="1">
      <alignment horizontal="center"/>
      <protection locked="0"/>
    </xf>
    <xf numFmtId="0" fontId="3" fillId="0" borderId="0" xfId="0" applyFont="1" applyBorder="1" applyAlignment="1">
      <alignment horizontal="left"/>
    </xf>
    <xf numFmtId="0" fontId="25" fillId="0" borderId="0" xfId="0" applyFont="1" applyAlignment="1">
      <alignment horizontal="left"/>
    </xf>
    <xf numFmtId="0" fontId="76" fillId="40" borderId="0" xfId="0" applyFont="1" applyFill="1" applyAlignment="1" applyProtection="1">
      <alignment horizontal="center" vertical="center"/>
      <protection locked="0"/>
    </xf>
    <xf numFmtId="0" fontId="24" fillId="0" borderId="0" xfId="0" applyFont="1"/>
    <xf numFmtId="4" fontId="0" fillId="0" borderId="0" xfId="0" applyNumberFormat="1" applyFill="1"/>
    <xf numFmtId="4" fontId="0" fillId="0" borderId="12" xfId="0" applyNumberFormat="1" applyFill="1" applyBorder="1"/>
    <xf numFmtId="0" fontId="15" fillId="0" borderId="0" xfId="0" applyFont="1" applyFill="1" applyAlignment="1">
      <alignment horizontal="right"/>
    </xf>
    <xf numFmtId="0" fontId="0" fillId="0" borderId="0" xfId="0" applyNumberFormat="1" applyFill="1" applyBorder="1" applyAlignment="1">
      <alignment horizontal="center"/>
    </xf>
    <xf numFmtId="4" fontId="82" fillId="34" borderId="0" xfId="0" applyNumberFormat="1" applyFont="1" applyFill="1" applyAlignment="1">
      <alignment horizontal="left"/>
    </xf>
    <xf numFmtId="4" fontId="83" fillId="34" borderId="0" xfId="0" applyNumberFormat="1" applyFont="1" applyFill="1" applyAlignment="1">
      <alignment horizontal="left"/>
    </xf>
    <xf numFmtId="4" fontId="82" fillId="34" borderId="0" xfId="0" applyNumberFormat="1" applyFont="1" applyFill="1" applyBorder="1" applyAlignment="1">
      <alignment horizontal="left"/>
    </xf>
    <xf numFmtId="0" fontId="3" fillId="0" borderId="0" xfId="0" applyFont="1" applyAlignment="1" applyProtection="1">
      <alignment textRotation="90"/>
    </xf>
    <xf numFmtId="0" fontId="9" fillId="0" borderId="0" xfId="0" applyFont="1" applyFill="1" applyAlignment="1" applyProtection="1">
      <alignment horizontal="right" vertical="center"/>
    </xf>
    <xf numFmtId="0" fontId="0" fillId="0" borderId="0" xfId="0" applyProtection="1"/>
    <xf numFmtId="0" fontId="0" fillId="30" borderId="0" xfId="0" applyFill="1" applyBorder="1" applyAlignment="1" applyProtection="1">
      <alignment horizontal="center"/>
      <protection locked="0"/>
    </xf>
    <xf numFmtId="4" fontId="0" fillId="0" borderId="0" xfId="0" applyNumberFormat="1" applyFill="1" applyBorder="1"/>
    <xf numFmtId="0" fontId="1" fillId="0" borderId="33" xfId="34" applyFont="1" applyBorder="1" applyAlignment="1">
      <alignment horizontal="center"/>
    </xf>
    <xf numFmtId="0" fontId="84" fillId="0" borderId="42" xfId="0" applyFont="1" applyBorder="1" applyAlignment="1">
      <alignment horizontal="center" vertical="center"/>
    </xf>
    <xf numFmtId="14" fontId="0" fillId="0" borderId="0" xfId="0" applyNumberFormat="1"/>
    <xf numFmtId="3" fontId="0" fillId="0" borderId="0" xfId="0" applyNumberFormat="1"/>
    <xf numFmtId="0" fontId="73" fillId="0" borderId="0" xfId="0" applyFont="1" applyFill="1" applyAlignment="1">
      <alignment horizontal="left"/>
    </xf>
    <xf numFmtId="0" fontId="84" fillId="25" borderId="43" xfId="0" applyFont="1" applyFill="1" applyBorder="1" applyAlignment="1">
      <alignment horizontal="center" vertical="center"/>
    </xf>
    <xf numFmtId="0" fontId="65" fillId="33" borderId="20" xfId="0" applyFont="1" applyFill="1" applyBorder="1"/>
    <xf numFmtId="0" fontId="65" fillId="33" borderId="22" xfId="0" applyFont="1" applyFill="1" applyBorder="1"/>
    <xf numFmtId="0" fontId="16" fillId="0" borderId="44" xfId="0" applyFont="1" applyBorder="1"/>
    <xf numFmtId="0" fontId="16" fillId="0" borderId="45" xfId="0" applyFont="1" applyBorder="1"/>
    <xf numFmtId="4" fontId="16" fillId="0" borderId="44" xfId="0" applyNumberFormat="1" applyFont="1" applyBorder="1"/>
    <xf numFmtId="4" fontId="16" fillId="33" borderId="45" xfId="0" applyNumberFormat="1" applyFont="1" applyFill="1" applyBorder="1"/>
    <xf numFmtId="4" fontId="16" fillId="0" borderId="44" xfId="0" applyNumberFormat="1" applyFont="1" applyFill="1" applyBorder="1"/>
    <xf numFmtId="4" fontId="16" fillId="0" borderId="45" xfId="0" applyNumberFormat="1" applyFont="1" applyFill="1" applyBorder="1"/>
    <xf numFmtId="4" fontId="16" fillId="0" borderId="23" xfId="0" applyNumberFormat="1" applyFont="1" applyBorder="1"/>
    <xf numFmtId="4" fontId="16" fillId="33" borderId="24" xfId="0" applyNumberFormat="1" applyFont="1" applyFill="1" applyBorder="1"/>
    <xf numFmtId="0" fontId="10" fillId="0" borderId="16" xfId="34" applyFont="1" applyBorder="1"/>
    <xf numFmtId="2" fontId="9" fillId="0" borderId="17" xfId="34" quotePrefix="1" applyNumberFormat="1" applyFont="1" applyBorder="1" applyAlignment="1">
      <alignment horizontal="center" vertical="center" wrapText="1"/>
    </xf>
    <xf numFmtId="2" fontId="7" fillId="0" borderId="13" xfId="0" applyNumberFormat="1" applyFont="1" applyBorder="1" applyProtection="1"/>
    <xf numFmtId="2" fontId="7" fillId="0" borderId="13" xfId="0" applyNumberFormat="1" applyFont="1" applyBorder="1"/>
    <xf numFmtId="2" fontId="7" fillId="0" borderId="13" xfId="0" applyNumberFormat="1" applyFont="1" applyFill="1" applyBorder="1"/>
    <xf numFmtId="2" fontId="0" fillId="29" borderId="0" xfId="0" applyNumberFormat="1" applyFill="1" applyAlignment="1">
      <alignment horizontal="center" vertical="center"/>
    </xf>
    <xf numFmtId="2" fontId="85" fillId="27" borderId="0" xfId="0" applyNumberFormat="1" applyFont="1" applyFill="1" applyAlignment="1">
      <alignment vertical="center"/>
    </xf>
    <xf numFmtId="0" fontId="0" fillId="0" borderId="0" xfId="0" quotePrefix="1" applyFill="1" applyAlignment="1">
      <alignment vertical="center"/>
    </xf>
    <xf numFmtId="0" fontId="67" fillId="30" borderId="0" xfId="34" applyFont="1" applyFill="1"/>
    <xf numFmtId="0" fontId="7" fillId="0" borderId="29" xfId="34" applyFont="1" applyFill="1" applyBorder="1" applyProtection="1">
      <protection locked="0"/>
    </xf>
    <xf numFmtId="0" fontId="23" fillId="29" borderId="0" xfId="34" applyFont="1" applyFill="1"/>
    <xf numFmtId="0" fontId="7" fillId="29" borderId="0" xfId="34" applyFont="1" applyFill="1" applyBorder="1"/>
    <xf numFmtId="2" fontId="7" fillId="0" borderId="0" xfId="34" applyNumberFormat="1" applyFont="1" applyFill="1" applyBorder="1"/>
    <xf numFmtId="0" fontId="7" fillId="29" borderId="0" xfId="34" applyFont="1" applyFill="1"/>
    <xf numFmtId="0" fontId="23" fillId="0" borderId="0" xfId="34" applyFont="1" applyFill="1"/>
    <xf numFmtId="0" fontId="67" fillId="32" borderId="0" xfId="34" applyFont="1" applyFill="1" applyAlignment="1">
      <alignment horizontal="left"/>
    </xf>
    <xf numFmtId="1" fontId="56" fillId="0" borderId="28" xfId="34" applyNumberFormat="1" applyFont="1" applyBorder="1" applyProtection="1">
      <protection locked="0"/>
    </xf>
    <xf numFmtId="1" fontId="7" fillId="0" borderId="0" xfId="34" applyNumberFormat="1" applyFont="1"/>
    <xf numFmtId="0" fontId="86" fillId="0" borderId="13" xfId="34" applyFont="1" applyBorder="1" applyAlignment="1">
      <alignment horizontal="center" vertical="center" wrapText="1"/>
    </xf>
    <xf numFmtId="2" fontId="86" fillId="0" borderId="17" xfId="34" quotePrefix="1" applyNumberFormat="1" applyFont="1" applyBorder="1" applyAlignment="1">
      <alignment horizontal="center" vertical="center" wrapText="1"/>
    </xf>
    <xf numFmtId="168" fontId="86" fillId="0" borderId="10" xfId="34" applyNumberFormat="1" applyFont="1" applyBorder="1" applyAlignment="1">
      <alignment vertical="top" wrapText="1"/>
    </xf>
    <xf numFmtId="2" fontId="86" fillId="0" borderId="16" xfId="34" applyNumberFormat="1" applyFont="1" applyBorder="1" applyAlignment="1">
      <alignment vertical="top" wrapText="1"/>
    </xf>
    <xf numFmtId="168" fontId="86" fillId="0" borderId="17" xfId="34" applyNumberFormat="1" applyFont="1" applyBorder="1" applyAlignment="1">
      <alignment horizontal="left"/>
    </xf>
    <xf numFmtId="168" fontId="86" fillId="0" borderId="16" xfId="34" applyNumberFormat="1" applyFont="1" applyBorder="1" applyAlignment="1">
      <alignment vertical="top" wrapText="1"/>
    </xf>
    <xf numFmtId="2" fontId="87" fillId="0" borderId="17" xfId="34" applyNumberFormat="1" applyFont="1" applyBorder="1" applyAlignment="1">
      <alignment horizontal="right" vertical="center" wrapText="1"/>
    </xf>
    <xf numFmtId="169" fontId="87" fillId="0" borderId="16" xfId="34" applyNumberFormat="1" applyFont="1" applyBorder="1" applyAlignment="1">
      <alignment horizontal="right" vertical="center" wrapText="1"/>
    </xf>
    <xf numFmtId="2" fontId="86" fillId="0" borderId="17" xfId="34" applyNumberFormat="1" applyFont="1" applyBorder="1" applyAlignment="1">
      <alignment horizontal="right" vertical="center" wrapText="1"/>
    </xf>
    <xf numFmtId="169" fontId="86" fillId="0" borderId="16" xfId="34" applyNumberFormat="1" applyFont="1" applyBorder="1" applyAlignment="1">
      <alignment horizontal="right" vertical="center" wrapText="1"/>
    </xf>
    <xf numFmtId="3" fontId="16" fillId="28" borderId="0" xfId="0" applyNumberFormat="1" applyFont="1" applyFill="1" applyAlignment="1" applyProtection="1">
      <alignment vertical="center"/>
      <protection locked="0"/>
    </xf>
    <xf numFmtId="0" fontId="16" fillId="28" borderId="0" xfId="0" applyFont="1" applyFill="1" applyAlignment="1" applyProtection="1">
      <alignment vertical="center"/>
      <protection locked="0"/>
    </xf>
    <xf numFmtId="3" fontId="16" fillId="28" borderId="0" xfId="0" applyNumberFormat="1" applyFont="1" applyFill="1" applyAlignment="1">
      <alignment vertical="center"/>
    </xf>
    <xf numFmtId="2" fontId="7" fillId="0" borderId="0" xfId="0" applyNumberFormat="1" applyFont="1" applyFill="1" applyBorder="1"/>
    <xf numFmtId="0" fontId="3" fillId="0" borderId="0" xfId="0" applyFont="1" applyFill="1" applyAlignment="1">
      <alignment vertical="center"/>
    </xf>
    <xf numFmtId="3" fontId="0" fillId="0" borderId="0" xfId="0" applyNumberFormat="1" applyFill="1" applyAlignment="1">
      <alignment vertical="center"/>
    </xf>
    <xf numFmtId="9" fontId="16" fillId="30" borderId="13" xfId="43" applyFont="1" applyFill="1" applyBorder="1" applyAlignment="1">
      <alignment horizontal="center" vertical="center"/>
    </xf>
    <xf numFmtId="0" fontId="6" fillId="0" borderId="0" xfId="0" applyFont="1"/>
    <xf numFmtId="0" fontId="88" fillId="0" borderId="0" xfId="0" applyFont="1"/>
    <xf numFmtId="0" fontId="9" fillId="26" borderId="0" xfId="0" applyNumberFormat="1" applyFont="1" applyFill="1" applyAlignment="1" applyProtection="1">
      <alignment horizontal="right" vertical="center"/>
      <protection locked="0"/>
    </xf>
    <xf numFmtId="0" fontId="79" fillId="0" borderId="39" xfId="0" applyFont="1" applyFill="1" applyBorder="1" applyAlignment="1">
      <alignment horizontal="center"/>
    </xf>
    <xf numFmtId="0" fontId="79" fillId="0" borderId="40" xfId="0" applyFont="1" applyFill="1" applyBorder="1" applyAlignment="1">
      <alignment horizontal="center"/>
    </xf>
    <xf numFmtId="14" fontId="79" fillId="0" borderId="40" xfId="0" applyNumberFormat="1" applyFont="1" applyFill="1" applyBorder="1" applyAlignment="1">
      <alignment horizontal="center"/>
    </xf>
    <xf numFmtId="1" fontId="16" fillId="0" borderId="13" xfId="0" applyNumberFormat="1" applyFont="1" applyBorder="1" applyAlignment="1">
      <alignment horizontal="center" vertical="center"/>
    </xf>
    <xf numFmtId="0" fontId="67" fillId="0" borderId="0" xfId="34" applyFont="1" applyFill="1"/>
    <xf numFmtId="0" fontId="67" fillId="0" borderId="0" xfId="34" applyFont="1" applyFill="1" applyAlignment="1">
      <alignment horizontal="left"/>
    </xf>
    <xf numFmtId="9" fontId="7" fillId="0" borderId="0" xfId="34" applyNumberFormat="1" applyFont="1" applyFill="1" applyAlignment="1">
      <alignment horizontal="left"/>
    </xf>
    <xf numFmtId="0" fontId="7" fillId="0" borderId="0" xfId="34" applyFont="1" applyFill="1" applyAlignment="1">
      <alignment horizontal="left"/>
    </xf>
    <xf numFmtId="0" fontId="23" fillId="0" borderId="0" xfId="34" applyFont="1" applyFill="1" applyAlignment="1">
      <alignment horizontal="left"/>
    </xf>
    <xf numFmtId="9" fontId="7" fillId="0" borderId="0" xfId="34" applyNumberFormat="1" applyFont="1" applyFill="1" applyBorder="1" applyAlignment="1" applyProtection="1">
      <alignment horizontal="left"/>
      <protection locked="0"/>
    </xf>
    <xf numFmtId="0" fontId="23" fillId="0" borderId="13" xfId="0" applyFont="1" applyBorder="1" applyProtection="1"/>
    <xf numFmtId="0" fontId="7" fillId="0" borderId="13" xfId="0" applyFont="1" applyBorder="1" applyProtection="1"/>
    <xf numFmtId="0" fontId="7" fillId="0" borderId="0" xfId="0" applyFont="1"/>
    <xf numFmtId="0" fontId="23" fillId="0" borderId="0" xfId="0" applyFont="1"/>
    <xf numFmtId="14" fontId="7" fillId="0" borderId="0" xfId="0" applyNumberFormat="1" applyFont="1"/>
    <xf numFmtId="1" fontId="7" fillId="0" borderId="0" xfId="0" applyNumberFormat="1" applyFont="1"/>
    <xf numFmtId="3" fontId="16" fillId="28" borderId="0" xfId="0" applyNumberFormat="1" applyFont="1" applyFill="1" applyAlignment="1">
      <alignment horizontal="right" vertical="center"/>
    </xf>
    <xf numFmtId="0" fontId="80" fillId="43" borderId="0" xfId="0" applyFont="1" applyFill="1" applyAlignment="1">
      <alignment vertical="center"/>
    </xf>
    <xf numFmtId="0" fontId="7" fillId="43" borderId="0" xfId="0" applyFont="1" applyFill="1"/>
    <xf numFmtId="0" fontId="79" fillId="43" borderId="0" xfId="0" applyFont="1" applyFill="1" applyAlignment="1">
      <alignment vertical="center"/>
    </xf>
    <xf numFmtId="0" fontId="79" fillId="43" borderId="39" xfId="0" applyFont="1" applyFill="1" applyBorder="1" applyAlignment="1">
      <alignment horizontal="center"/>
    </xf>
    <xf numFmtId="14" fontId="79" fillId="43" borderId="40" xfId="0" applyNumberFormat="1" applyFont="1" applyFill="1" applyBorder="1" applyAlignment="1">
      <alignment horizontal="center"/>
    </xf>
    <xf numFmtId="0" fontId="79" fillId="43" borderId="40" xfId="0" applyFont="1" applyFill="1" applyBorder="1" applyAlignment="1">
      <alignment horizontal="center"/>
    </xf>
    <xf numFmtId="0" fontId="0" fillId="44" borderId="0" xfId="0" applyFill="1" applyAlignment="1" applyProtection="1">
      <alignment horizontal="center" vertical="center"/>
      <protection locked="0"/>
    </xf>
    <xf numFmtId="14" fontId="0" fillId="44" borderId="38" xfId="0" applyNumberFormat="1" applyFill="1" applyBorder="1" applyAlignment="1" applyProtection="1">
      <alignment horizontal="center" vertical="center"/>
      <protection locked="0"/>
    </xf>
    <xf numFmtId="1" fontId="0" fillId="44" borderId="38" xfId="0" applyNumberFormat="1" applyFill="1" applyBorder="1" applyAlignment="1" applyProtection="1">
      <alignment horizontal="center" vertical="center"/>
      <protection locked="0"/>
    </xf>
    <xf numFmtId="0" fontId="0" fillId="44" borderId="38" xfId="0" applyFill="1" applyBorder="1" applyAlignment="1" applyProtection="1">
      <alignment horizontal="center" vertical="center"/>
      <protection locked="0"/>
    </xf>
    <xf numFmtId="3" fontId="0" fillId="44" borderId="0" xfId="0" applyNumberFormat="1" applyFill="1" applyAlignment="1" applyProtection="1">
      <alignment horizontal="center" vertical="center"/>
      <protection locked="0"/>
    </xf>
    <xf numFmtId="0" fontId="9" fillId="44" borderId="0" xfId="0" applyFont="1" applyFill="1" applyAlignment="1" applyProtection="1">
      <alignment horizontal="center" vertical="center"/>
      <protection locked="0"/>
    </xf>
    <xf numFmtId="0" fontId="0" fillId="44" borderId="41" xfId="0" applyFill="1" applyBorder="1" applyAlignment="1" applyProtection="1">
      <alignment horizontal="center"/>
      <protection locked="0"/>
    </xf>
    <xf numFmtId="0" fontId="0" fillId="44" borderId="0" xfId="0" applyFill="1" applyBorder="1" applyAlignment="1" applyProtection="1">
      <alignment horizontal="center"/>
      <protection locked="0"/>
    </xf>
    <xf numFmtId="0" fontId="2" fillId="0" borderId="13" xfId="34" applyFont="1" applyBorder="1"/>
    <xf numFmtId="0" fontId="2" fillId="0" borderId="13" xfId="0" applyFont="1" applyBorder="1"/>
    <xf numFmtId="2" fontId="2" fillId="0" borderId="13" xfId="0" applyNumberFormat="1" applyFont="1" applyBorder="1"/>
    <xf numFmtId="0" fontId="1" fillId="0" borderId="13" xfId="34" applyFont="1" applyBorder="1" applyAlignment="1">
      <alignment horizontal="center" vertical="center" wrapText="1"/>
    </xf>
    <xf numFmtId="9" fontId="2" fillId="45" borderId="13" xfId="44" applyNumberFormat="1" applyFont="1" applyFill="1" applyBorder="1"/>
    <xf numFmtId="0" fontId="2" fillId="0" borderId="0" xfId="0" applyFont="1"/>
    <xf numFmtId="2" fontId="7" fillId="45" borderId="13" xfId="0" applyNumberFormat="1" applyFont="1" applyFill="1" applyBorder="1" applyProtection="1"/>
    <xf numFmtId="2" fontId="7" fillId="46" borderId="13" xfId="0" applyNumberFormat="1" applyFont="1" applyFill="1" applyBorder="1" applyProtection="1"/>
    <xf numFmtId="2" fontId="7" fillId="0" borderId="13" xfId="0" applyNumberFormat="1" applyFont="1" applyFill="1" applyBorder="1" applyProtection="1"/>
    <xf numFmtId="9" fontId="2" fillId="46" borderId="0" xfId="0" applyNumberFormat="1" applyFont="1" applyFill="1"/>
    <xf numFmtId="9" fontId="2" fillId="0" borderId="0" xfId="34" applyNumberFormat="1" applyFont="1"/>
    <xf numFmtId="0" fontId="90" fillId="0" borderId="0" xfId="0" applyFont="1" applyAlignment="1">
      <alignment vertical="center"/>
    </xf>
    <xf numFmtId="170" fontId="7" fillId="45" borderId="13" xfId="0" applyNumberFormat="1" applyFont="1" applyFill="1" applyBorder="1" applyProtection="1"/>
    <xf numFmtId="170" fontId="7" fillId="0" borderId="13" xfId="0" applyNumberFormat="1" applyFont="1" applyBorder="1" applyProtection="1"/>
    <xf numFmtId="170" fontId="7" fillId="46" borderId="13" xfId="0" applyNumberFormat="1" applyFont="1" applyFill="1" applyBorder="1" applyProtection="1"/>
    <xf numFmtId="170" fontId="7" fillId="0" borderId="13" xfId="0" applyNumberFormat="1" applyFont="1" applyBorder="1"/>
    <xf numFmtId="171" fontId="0" fillId="0" borderId="0" xfId="0" applyNumberFormat="1" applyAlignment="1">
      <alignment horizontal="right"/>
    </xf>
    <xf numFmtId="0" fontId="14" fillId="0" borderId="0" xfId="0" quotePrefix="1" applyFont="1"/>
    <xf numFmtId="0" fontId="14" fillId="0" borderId="0" xfId="0" applyFont="1"/>
    <xf numFmtId="4" fontId="16" fillId="0" borderId="0" xfId="0" applyNumberFormat="1" applyFont="1"/>
    <xf numFmtId="0" fontId="1" fillId="0" borderId="0" xfId="0" applyFont="1"/>
    <xf numFmtId="0" fontId="9" fillId="44" borderId="0" xfId="0" applyFont="1" applyFill="1" applyAlignment="1" applyProtection="1">
      <alignment horizontal="left" vertical="center"/>
      <protection locked="0"/>
    </xf>
    <xf numFmtId="0" fontId="0" fillId="44" borderId="0" xfId="0" applyFill="1" applyAlignment="1" applyProtection="1">
      <alignment horizontal="left" vertical="center"/>
      <protection locked="0"/>
    </xf>
    <xf numFmtId="0" fontId="9" fillId="44" borderId="38" xfId="0" applyFont="1" applyFill="1" applyBorder="1" applyAlignment="1" applyProtection="1">
      <alignment horizontal="left" vertical="center"/>
      <protection locked="0"/>
    </xf>
    <xf numFmtId="0" fontId="0" fillId="44" borderId="0" xfId="0" applyFill="1" applyBorder="1" applyAlignment="1" applyProtection="1">
      <alignment horizontal="left" vertical="center"/>
      <protection locked="0"/>
    </xf>
    <xf numFmtId="0" fontId="79" fillId="43" borderId="39" xfId="0" applyFont="1" applyFill="1" applyBorder="1" applyAlignment="1">
      <alignment horizontal="left"/>
    </xf>
    <xf numFmtId="0" fontId="79" fillId="43" borderId="40" xfId="0" applyFont="1" applyFill="1" applyBorder="1" applyAlignment="1">
      <alignment horizontal="left"/>
    </xf>
    <xf numFmtId="0" fontId="0" fillId="0" borderId="0" xfId="0" applyAlignment="1">
      <alignment horizontal="left" wrapText="1"/>
    </xf>
    <xf numFmtId="0" fontId="79" fillId="0" borderId="39" xfId="0" applyFont="1" applyFill="1" applyBorder="1" applyAlignment="1">
      <alignment horizontal="left"/>
    </xf>
    <xf numFmtId="0" fontId="79" fillId="42" borderId="40" xfId="0" applyFont="1" applyFill="1" applyBorder="1" applyAlignment="1">
      <alignment horizontal="left"/>
    </xf>
    <xf numFmtId="0" fontId="79" fillId="42" borderId="39" xfId="0" applyFont="1" applyFill="1" applyBorder="1" applyAlignment="1">
      <alignment horizontal="left"/>
    </xf>
    <xf numFmtId="167" fontId="9" fillId="0" borderId="10" xfId="0" applyNumberFormat="1"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9" fillId="0" borderId="10" xfId="0" applyNumberFormat="1"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xf>
    <xf numFmtId="49" fontId="15" fillId="0" borderId="0" xfId="0" applyNumberFormat="1" applyFont="1" applyAlignment="1">
      <alignment horizontal="center" wrapText="1"/>
    </xf>
    <xf numFmtId="49" fontId="15" fillId="0" borderId="0" xfId="0" applyNumberFormat="1" applyFont="1" applyAlignment="1">
      <alignment horizontal="center"/>
    </xf>
    <xf numFmtId="4" fontId="68" fillId="0" borderId="12" xfId="0" applyNumberFormat="1" applyFont="1" applyBorder="1" applyAlignment="1">
      <alignment horizontal="center" vertical="center"/>
    </xf>
    <xf numFmtId="0" fontId="16" fillId="38" borderId="12" xfId="34" applyFont="1" applyFill="1" applyBorder="1" applyAlignment="1">
      <alignment horizontal="left" vertical="center"/>
    </xf>
    <xf numFmtId="0" fontId="9" fillId="0" borderId="0" xfId="34" applyFont="1" applyAlignment="1">
      <alignment wrapText="1"/>
    </xf>
    <xf numFmtId="0" fontId="9" fillId="0" borderId="0" xfId="34" applyFont="1" applyAlignment="1"/>
    <xf numFmtId="0" fontId="9" fillId="0" borderId="27" xfId="34" applyFont="1" applyBorder="1" applyAlignment="1">
      <alignment horizontal="center" vertical="center" wrapText="1"/>
    </xf>
    <xf numFmtId="0" fontId="9" fillId="0" borderId="11" xfId="34" applyFont="1" applyBorder="1" applyAlignment="1">
      <alignment horizontal="center" vertical="center" wrapText="1"/>
    </xf>
    <xf numFmtId="0" fontId="9" fillId="0" borderId="28" xfId="34" applyFont="1" applyBorder="1" applyAlignment="1">
      <alignment horizontal="center" vertical="center" wrapText="1"/>
    </xf>
    <xf numFmtId="10" fontId="9" fillId="0" borderId="17" xfId="34" applyNumberFormat="1" applyFont="1" applyBorder="1" applyAlignment="1">
      <alignment horizontal="center" vertical="center" wrapText="1"/>
    </xf>
    <xf numFmtId="0" fontId="8" fillId="0" borderId="16" xfId="34" applyBorder="1" applyAlignment="1">
      <alignment horizontal="center" vertical="center" wrapText="1"/>
    </xf>
    <xf numFmtId="0" fontId="8" fillId="0" borderId="16" xfId="34" applyBorder="1" applyAlignment="1">
      <alignment horizontal="center"/>
    </xf>
    <xf numFmtId="0" fontId="3" fillId="0" borderId="0" xfId="34" applyFont="1" applyFill="1" applyAlignment="1">
      <alignment horizontal="right" vertical="center"/>
    </xf>
    <xf numFmtId="0" fontId="8" fillId="0" borderId="0" xfId="34" applyAlignment="1">
      <alignment wrapText="1"/>
    </xf>
    <xf numFmtId="0" fontId="9" fillId="0" borderId="27" xfId="34" applyFont="1" applyBorder="1" applyAlignment="1">
      <alignment horizontal="center" vertical="top" wrapText="1"/>
    </xf>
    <xf numFmtId="0" fontId="9" fillId="0" borderId="28" xfId="34" applyFont="1" applyBorder="1" applyAlignment="1">
      <alignment horizontal="center" vertical="top" wrapText="1"/>
    </xf>
    <xf numFmtId="0" fontId="9" fillId="0" borderId="0" xfId="34" applyFont="1" applyAlignment="1">
      <alignment vertical="top" wrapText="1"/>
    </xf>
    <xf numFmtId="0" fontId="9" fillId="0" borderId="0" xfId="34" applyFont="1" applyAlignment="1">
      <alignment horizontal="left" vertical="top" wrapText="1"/>
    </xf>
    <xf numFmtId="0" fontId="69" fillId="0" borderId="11" xfId="34" applyFont="1" applyBorder="1" applyAlignment="1">
      <alignment horizontal="center"/>
    </xf>
    <xf numFmtId="167" fontId="0" fillId="0" borderId="0" xfId="0" applyNumberFormat="1" applyAlignment="1">
      <alignment horizontal="left" vertical="center"/>
    </xf>
    <xf numFmtId="0" fontId="56" fillId="0" borderId="17" xfId="0" applyFont="1" applyBorder="1" applyAlignment="1" applyProtection="1">
      <alignment horizontal="left"/>
      <protection locked="0"/>
    </xf>
    <xf numFmtId="0" fontId="56" fillId="0" borderId="10" xfId="0" applyFont="1" applyBorder="1" applyAlignment="1" applyProtection="1">
      <alignment horizontal="left"/>
      <protection locked="0"/>
    </xf>
    <xf numFmtId="0" fontId="56" fillId="0" borderId="16" xfId="0" applyFont="1" applyBorder="1" applyAlignment="1" applyProtection="1">
      <alignment horizontal="left"/>
      <protection locked="0"/>
    </xf>
  </cellXfs>
  <cellStyles count="45">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Komma" xfId="44" builtinId="3"/>
    <cellStyle name="Neutral" xfId="31" builtinId="28" customBuiltin="1"/>
    <cellStyle name="Notiz" xfId="32" builtinId="10" customBuiltin="1"/>
    <cellStyle name="Prozent" xfId="43" builtinId="5"/>
    <cellStyle name="Schlecht" xfId="33" builtinId="27" customBuiltin="1"/>
    <cellStyle name="Standard" xfId="0" builtinId="0"/>
    <cellStyle name="Standard_Planbeschrieb MODUL_d_V5" xfId="34" xr:uid="{00000000-0005-0000-0000-000023000000}"/>
    <cellStyle name="Überschrift" xfId="35" builtinId="15" customBuiltin="1"/>
    <cellStyle name="Überschrift 1" xfId="36" builtinId="16" customBuiltin="1"/>
    <cellStyle name="Überschrift 2" xfId="37" builtinId="17" customBuiltin="1"/>
    <cellStyle name="Überschrift 3" xfId="38" builtinId="18" customBuiltin="1"/>
    <cellStyle name="Überschrift 4" xfId="39" builtinId="19" customBuiltin="1"/>
    <cellStyle name="Verknüpfte Zelle" xfId="40" builtinId="24" customBuiltin="1"/>
    <cellStyle name="Warnender Text" xfId="41" builtinId="11" customBuiltin="1"/>
    <cellStyle name="Zelle überprüfen" xfId="42" builtinId="23" customBuiltin="1"/>
  </cellStyles>
  <dxfs count="48">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ill>
        <patternFill>
          <bgColor indexed="13"/>
        </patternFill>
      </fill>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22"/>
      </font>
    </dxf>
    <dxf>
      <fill>
        <patternFill patternType="none">
          <bgColor indexed="65"/>
        </patternFill>
      </fill>
      <border>
        <bottom style="thin">
          <color indexed="64"/>
        </bottom>
      </border>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dxf>
    <dxf>
      <font>
        <b/>
        <i val="0"/>
        <condense val="0"/>
        <extend val="0"/>
        <color indexed="10"/>
      </font>
    </dxf>
    <dxf>
      <font>
        <b/>
        <i val="0"/>
        <condense val="0"/>
        <extend val="0"/>
      </font>
    </dxf>
    <dxf>
      <font>
        <b/>
        <i val="0"/>
        <condense val="0"/>
        <extend val="0"/>
      </font>
    </dxf>
    <dxf>
      <font>
        <condense val="0"/>
        <extend val="0"/>
        <color indexed="9"/>
      </font>
    </dxf>
    <dxf>
      <font>
        <color theme="0"/>
      </font>
      <fill>
        <patternFill>
          <bgColor theme="0"/>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lor theme="0"/>
      </font>
      <fill>
        <patternFill>
          <bgColor theme="0"/>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9"/>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BADCDC"/>
      <rgbColor rgb="00FFCCCC"/>
      <rgbColor rgb="00000080"/>
      <rgbColor rgb="00E2E3FE"/>
      <rgbColor rgb="00800080"/>
      <rgbColor rgb="00F1F8B2"/>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2E5FF"/>
      <rgbColor rgb="00666699"/>
      <rgbColor rgb="00969696"/>
      <rgbColor rgb="00003366"/>
      <rgbColor rgb="00339966"/>
      <rgbColor rgb="00003300"/>
      <rgbColor rgb="00333300"/>
      <rgbColor rgb="00993300"/>
      <rgbColor rgb="00993366"/>
      <rgbColor rgb="00333399"/>
      <rgbColor rgb="00333333"/>
    </indexedColors>
    <mruColors>
      <color rgb="FFFFF3C5"/>
      <color rgb="FFC9E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ctrlProps/ctrlProp1.xml><?xml version="1.0" encoding="utf-8"?>
<formControlPr xmlns="http://schemas.microsoft.com/office/spreadsheetml/2009/9/main" objectType="Drop" dropLines="9" dropStyle="combo" dx="22" fmlaLink="K24" fmlaRange="$M$24:$M$36" noThreeD="1" sel="4" val="0"/>
</file>

<file path=xl/ctrlProps/ctrlProp10.xml><?xml version="1.0" encoding="utf-8"?>
<formControlPr xmlns="http://schemas.microsoft.com/office/spreadsheetml/2009/9/main" objectType="Drop" dropLines="7" dropStyle="combo" dx="22" fmlaLink="$K$17" fmlaRange="$M$17:$M$23" noThreeD="1" sel="3" val="0"/>
</file>

<file path=xl/ctrlProps/ctrlProp11.xml><?xml version="1.0" encoding="utf-8"?>
<formControlPr xmlns="http://schemas.microsoft.com/office/spreadsheetml/2009/9/main" objectType="Drop" dropLines="4" dropStyle="combo" dx="22" fmlaLink="K5" fmlaRange="$M$5:$M$8" noThreeD="1" sel="1" val="0"/>
</file>

<file path=xl/ctrlProps/ctrlProp12.xml><?xml version="1.0" encoding="utf-8"?>
<formControlPr xmlns="http://schemas.microsoft.com/office/spreadsheetml/2009/9/main" objectType="Drop" dropLines="2" dropStyle="combo" dx="22" fmlaLink="$K$77" fmlaRange="$M$77:$M$78" noThreeD="1" sel="2" val="0"/>
</file>

<file path=xl/ctrlProps/ctrlProp2.xml><?xml version="1.0" encoding="utf-8"?>
<formControlPr xmlns="http://schemas.microsoft.com/office/spreadsheetml/2009/9/main" objectType="Drop" dropLines="3" dropStyle="combo" dx="22" fmlaLink="$K$36" fmlaRange="$M$36:$M$38" noThreeD="1" sel="1" val="0"/>
</file>

<file path=xl/ctrlProps/ctrlProp3.xml><?xml version="1.0" encoding="utf-8"?>
<formControlPr xmlns="http://schemas.microsoft.com/office/spreadsheetml/2009/9/main" objectType="Drop" dropLines="14" dropStyle="combo" dx="22" fmlaLink="$K$39" fmlaRange="$M$39:$M$52" noThreeD="1" sel="10" val="0"/>
</file>

<file path=xl/ctrlProps/ctrlProp4.xml><?xml version="1.0" encoding="utf-8"?>
<formControlPr xmlns="http://schemas.microsoft.com/office/spreadsheetml/2009/9/main" objectType="Drop" dropLines="6" dropStyle="combo" dx="22" fmlaLink="$K$55" fmlaRange="$M$55:$M$60" noThreeD="1" sel="6" val="0"/>
</file>

<file path=xl/ctrlProps/ctrlProp5.xml><?xml version="1.0" encoding="utf-8"?>
<formControlPr xmlns="http://schemas.microsoft.com/office/spreadsheetml/2009/9/main" objectType="Drop" dropLines="5" dropStyle="combo" dx="22" fmlaLink="$K$9" fmlaRange="$M$9:$M$13" noThreeD="1" sel="0" val="0"/>
</file>

<file path=xl/ctrlProps/ctrlProp6.xml><?xml version="1.0" encoding="utf-8"?>
<formControlPr xmlns="http://schemas.microsoft.com/office/spreadsheetml/2009/9/main" objectType="Drop" dropLines="2" dropStyle="combo" dx="22" fmlaLink="K3" fmlaRange="$M$3:$M$4" noThreeD="1" sel="1" val="0"/>
</file>

<file path=xl/ctrlProps/ctrlProp7.xml><?xml version="1.0" encoding="utf-8"?>
<formControlPr xmlns="http://schemas.microsoft.com/office/spreadsheetml/2009/9/main" objectType="Drop" dropLines="3" dropStyle="combo" dx="22" fmlaLink="$K$61" fmlaRange="$M$61:$M$62" noThreeD="1" sel="1" val="0"/>
</file>

<file path=xl/ctrlProps/ctrlProp8.xml><?xml version="1.0" encoding="utf-8"?>
<formControlPr xmlns="http://schemas.microsoft.com/office/spreadsheetml/2009/9/main" objectType="Drop" dropLines="2" dropStyle="combo" dx="22" fmlaLink="$K$53" fmlaRange="$M$53:$M$54" noThreeD="1" sel="2" val="0"/>
</file>

<file path=xl/ctrlProps/ctrlProp9.xml><?xml version="1.0" encoding="utf-8"?>
<formControlPr xmlns="http://schemas.microsoft.com/office/spreadsheetml/2009/9/main" objectType="Drop" dropLines="3" dropStyle="combo" dx="22" fmlaLink="$K$14" fmlaRange="$M$14:$M$16"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70340</xdr:colOff>
      <xdr:row>0</xdr:row>
      <xdr:rowOff>169985</xdr:rowOff>
    </xdr:from>
    <xdr:to>
      <xdr:col>2</xdr:col>
      <xdr:colOff>527540</xdr:colOff>
      <xdr:row>0</xdr:row>
      <xdr:rowOff>822990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71" y="169985"/>
          <a:ext cx="1465384" cy="6530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644769</xdr:colOff>
      <xdr:row>7</xdr:row>
      <xdr:rowOff>131885</xdr:rowOff>
    </xdr:from>
    <xdr:to>
      <xdr:col>14</xdr:col>
      <xdr:colOff>424864</xdr:colOff>
      <xdr:row>27</xdr:row>
      <xdr:rowOff>45029</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4454769" y="1355481"/>
          <a:ext cx="6638095" cy="3180952"/>
        </a:xfrm>
        <a:prstGeom prst="rect">
          <a:avLst/>
        </a:prstGeom>
      </xdr:spPr>
    </xdr:pic>
    <xdr:clientData/>
  </xdr:twoCellAnchor>
  <xdr:twoCellAnchor>
    <xdr:from>
      <xdr:col>5</xdr:col>
      <xdr:colOff>272367</xdr:colOff>
      <xdr:row>20</xdr:row>
      <xdr:rowOff>139220</xdr:rowOff>
    </xdr:from>
    <xdr:to>
      <xdr:col>5</xdr:col>
      <xdr:colOff>528527</xdr:colOff>
      <xdr:row>22</xdr:row>
      <xdr:rowOff>66742</xdr:rowOff>
    </xdr:to>
    <xdr:grpSp>
      <xdr:nvGrpSpPr>
        <xdr:cNvPr id="9" name="Gruppieren 8">
          <a:extLst>
            <a:ext uri="{FF2B5EF4-FFF2-40B4-BE49-F238E27FC236}">
              <a16:creationId xmlns:a16="http://schemas.microsoft.com/office/drawing/2014/main" id="{00000000-0008-0000-0100-000009000000}"/>
            </a:ext>
          </a:extLst>
        </xdr:cNvPr>
        <xdr:cNvGrpSpPr/>
      </xdr:nvGrpSpPr>
      <xdr:grpSpPr>
        <a:xfrm>
          <a:off x="4228905" y="3662005"/>
          <a:ext cx="256160" cy="279214"/>
          <a:chOff x="3720701" y="3699019"/>
          <a:chExt cx="368229" cy="303463"/>
        </a:xfrm>
      </xdr:grpSpPr>
      <xdr:sp macro="" textlink="">
        <xdr:nvSpPr>
          <xdr:cNvPr id="7" name="Achteck 6">
            <a:extLst>
              <a:ext uri="{FF2B5EF4-FFF2-40B4-BE49-F238E27FC236}">
                <a16:creationId xmlns:a16="http://schemas.microsoft.com/office/drawing/2014/main" id="{00000000-0008-0000-0100-00000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7</a:t>
            </a:r>
          </a:p>
        </xdr:txBody>
      </xdr:sp>
    </xdr:grpSp>
    <xdr:clientData/>
  </xdr:twoCellAnchor>
  <xdr:twoCellAnchor>
    <xdr:from>
      <xdr:col>0</xdr:col>
      <xdr:colOff>256443</xdr:colOff>
      <xdr:row>16</xdr:row>
      <xdr:rowOff>131885</xdr:rowOff>
    </xdr:from>
    <xdr:to>
      <xdr:col>0</xdr:col>
      <xdr:colOff>496959</xdr:colOff>
      <xdr:row>18</xdr:row>
      <xdr:rowOff>51291</xdr:rowOff>
    </xdr:to>
    <xdr:grpSp>
      <xdr:nvGrpSpPr>
        <xdr:cNvPr id="10" name="Gruppieren 9">
          <a:extLst>
            <a:ext uri="{FF2B5EF4-FFF2-40B4-BE49-F238E27FC236}">
              <a16:creationId xmlns:a16="http://schemas.microsoft.com/office/drawing/2014/main" id="{00000000-0008-0000-0100-00000A000000}"/>
            </a:ext>
          </a:extLst>
        </xdr:cNvPr>
        <xdr:cNvGrpSpPr/>
      </xdr:nvGrpSpPr>
      <xdr:grpSpPr>
        <a:xfrm>
          <a:off x="256443" y="2963008"/>
          <a:ext cx="240516" cy="271098"/>
          <a:chOff x="3720701" y="3699019"/>
          <a:chExt cx="345741" cy="294154"/>
        </a:xfrm>
      </xdr:grpSpPr>
      <xdr:sp macro="" textlink="">
        <xdr:nvSpPr>
          <xdr:cNvPr id="11" name="Achteck 10">
            <a:extLst>
              <a:ext uri="{FF2B5EF4-FFF2-40B4-BE49-F238E27FC236}">
                <a16:creationId xmlns:a16="http://schemas.microsoft.com/office/drawing/2014/main" id="{00000000-0008-0000-0100-00000B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2" name="Textfeld 11">
            <a:extLst>
              <a:ext uri="{FF2B5EF4-FFF2-40B4-BE49-F238E27FC236}">
                <a16:creationId xmlns:a16="http://schemas.microsoft.com/office/drawing/2014/main" id="{00000000-0008-0000-0100-00000C000000}"/>
              </a:ext>
            </a:extLst>
          </xdr:cNvPr>
          <xdr:cNvSpPr txBox="1"/>
        </xdr:nvSpPr>
        <xdr:spPr>
          <a:xfrm>
            <a:off x="3720701" y="3699019"/>
            <a:ext cx="256161" cy="264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1</a:t>
            </a:r>
          </a:p>
        </xdr:txBody>
      </xdr:sp>
    </xdr:grpSp>
    <xdr:clientData/>
  </xdr:twoCellAnchor>
  <xdr:twoCellAnchor>
    <xdr:from>
      <xdr:col>1</xdr:col>
      <xdr:colOff>234462</xdr:colOff>
      <xdr:row>16</xdr:row>
      <xdr:rowOff>139216</xdr:rowOff>
    </xdr:from>
    <xdr:to>
      <xdr:col>1</xdr:col>
      <xdr:colOff>490622</xdr:colOff>
      <xdr:row>18</xdr:row>
      <xdr:rowOff>66738</xdr:rowOff>
    </xdr:to>
    <xdr:grpSp>
      <xdr:nvGrpSpPr>
        <xdr:cNvPr id="13" name="Gruppieren 12">
          <a:extLst>
            <a:ext uri="{FF2B5EF4-FFF2-40B4-BE49-F238E27FC236}">
              <a16:creationId xmlns:a16="http://schemas.microsoft.com/office/drawing/2014/main" id="{00000000-0008-0000-0100-00000D000000}"/>
            </a:ext>
          </a:extLst>
        </xdr:cNvPr>
        <xdr:cNvGrpSpPr/>
      </xdr:nvGrpSpPr>
      <xdr:grpSpPr>
        <a:xfrm>
          <a:off x="1025770" y="2970339"/>
          <a:ext cx="256160" cy="279214"/>
          <a:chOff x="3720701" y="3699019"/>
          <a:chExt cx="368229" cy="303463"/>
        </a:xfrm>
      </xdr:grpSpPr>
      <xdr:sp macro="" textlink="">
        <xdr:nvSpPr>
          <xdr:cNvPr id="14" name="Achteck 13">
            <a:extLst>
              <a:ext uri="{FF2B5EF4-FFF2-40B4-BE49-F238E27FC236}">
                <a16:creationId xmlns:a16="http://schemas.microsoft.com/office/drawing/2014/main" id="{00000000-0008-0000-0100-00000E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5" name="Textfeld 14">
            <a:extLst>
              <a:ext uri="{FF2B5EF4-FFF2-40B4-BE49-F238E27FC236}">
                <a16:creationId xmlns:a16="http://schemas.microsoft.com/office/drawing/2014/main" id="{00000000-0008-0000-0100-00000F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7</xdr:col>
      <xdr:colOff>189229</xdr:colOff>
      <xdr:row>21</xdr:row>
      <xdr:rowOff>109908</xdr:rowOff>
    </xdr:from>
    <xdr:to>
      <xdr:col>7</xdr:col>
      <xdr:colOff>446662</xdr:colOff>
      <xdr:row>23</xdr:row>
      <xdr:rowOff>44756</xdr:rowOff>
    </xdr:to>
    <xdr:grpSp>
      <xdr:nvGrpSpPr>
        <xdr:cNvPr id="16" name="Gruppieren 15">
          <a:extLst>
            <a:ext uri="{FF2B5EF4-FFF2-40B4-BE49-F238E27FC236}">
              <a16:creationId xmlns:a16="http://schemas.microsoft.com/office/drawing/2014/main" id="{00000000-0008-0000-0100-000010000000}"/>
            </a:ext>
          </a:extLst>
        </xdr:cNvPr>
        <xdr:cNvGrpSpPr/>
      </xdr:nvGrpSpPr>
      <xdr:grpSpPr>
        <a:xfrm>
          <a:off x="5728383" y="3808539"/>
          <a:ext cx="257433" cy="280679"/>
          <a:chOff x="3729404" y="3699019"/>
          <a:chExt cx="370059" cy="303463"/>
        </a:xfrm>
      </xdr:grpSpPr>
      <xdr:sp macro="" textlink="">
        <xdr:nvSpPr>
          <xdr:cNvPr id="17" name="Achteck 16">
            <a:extLst>
              <a:ext uri="{FF2B5EF4-FFF2-40B4-BE49-F238E27FC236}">
                <a16:creationId xmlns:a16="http://schemas.microsoft.com/office/drawing/2014/main" id="{00000000-0008-0000-0100-000011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8" name="Textfeld 17">
            <a:extLst>
              <a:ext uri="{FF2B5EF4-FFF2-40B4-BE49-F238E27FC236}">
                <a16:creationId xmlns:a16="http://schemas.microsoft.com/office/drawing/2014/main" id="{00000000-0008-0000-0100-000012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6</xdr:col>
      <xdr:colOff>7328</xdr:colOff>
      <xdr:row>24</xdr:row>
      <xdr:rowOff>36640</xdr:rowOff>
    </xdr:from>
    <xdr:to>
      <xdr:col>6</xdr:col>
      <xdr:colOff>263488</xdr:colOff>
      <xdr:row>25</xdr:row>
      <xdr:rowOff>140008</xdr:rowOff>
    </xdr:to>
    <xdr:grpSp>
      <xdr:nvGrpSpPr>
        <xdr:cNvPr id="19" name="Gruppieren 18">
          <a:extLst>
            <a:ext uri="{FF2B5EF4-FFF2-40B4-BE49-F238E27FC236}">
              <a16:creationId xmlns:a16="http://schemas.microsoft.com/office/drawing/2014/main" id="{00000000-0008-0000-0100-000013000000}"/>
            </a:ext>
          </a:extLst>
        </xdr:cNvPr>
        <xdr:cNvGrpSpPr/>
      </xdr:nvGrpSpPr>
      <xdr:grpSpPr>
        <a:xfrm>
          <a:off x="4755174" y="4251086"/>
          <a:ext cx="256160" cy="273353"/>
          <a:chOff x="3720701" y="3699019"/>
          <a:chExt cx="368229" cy="303463"/>
        </a:xfrm>
      </xdr:grpSpPr>
      <xdr:sp macro="" textlink="">
        <xdr:nvSpPr>
          <xdr:cNvPr id="20" name="Achteck 19">
            <a:extLst>
              <a:ext uri="{FF2B5EF4-FFF2-40B4-BE49-F238E27FC236}">
                <a16:creationId xmlns:a16="http://schemas.microsoft.com/office/drawing/2014/main" id="{00000000-0008-0000-0100-000014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1" name="Textfeld 20">
            <a:extLst>
              <a:ext uri="{FF2B5EF4-FFF2-40B4-BE49-F238E27FC236}">
                <a16:creationId xmlns:a16="http://schemas.microsoft.com/office/drawing/2014/main" id="{00000000-0008-0000-0100-000015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432289</xdr:colOff>
      <xdr:row>24</xdr:row>
      <xdr:rowOff>43962</xdr:rowOff>
    </xdr:from>
    <xdr:to>
      <xdr:col>6</xdr:col>
      <xdr:colOff>688449</xdr:colOff>
      <xdr:row>25</xdr:row>
      <xdr:rowOff>147330</xdr:rowOff>
    </xdr:to>
    <xdr:grpSp>
      <xdr:nvGrpSpPr>
        <xdr:cNvPr id="22" name="Gruppieren 21">
          <a:extLst>
            <a:ext uri="{FF2B5EF4-FFF2-40B4-BE49-F238E27FC236}">
              <a16:creationId xmlns:a16="http://schemas.microsoft.com/office/drawing/2014/main" id="{00000000-0008-0000-0100-000016000000}"/>
            </a:ext>
          </a:extLst>
        </xdr:cNvPr>
        <xdr:cNvGrpSpPr/>
      </xdr:nvGrpSpPr>
      <xdr:grpSpPr>
        <a:xfrm>
          <a:off x="5180135" y="4258408"/>
          <a:ext cx="256160" cy="273353"/>
          <a:chOff x="3720701" y="3699019"/>
          <a:chExt cx="368229" cy="303463"/>
        </a:xfrm>
      </xdr:grpSpPr>
      <xdr:sp macro="" textlink="">
        <xdr:nvSpPr>
          <xdr:cNvPr id="23" name="Achteck 22">
            <a:extLst>
              <a:ext uri="{FF2B5EF4-FFF2-40B4-BE49-F238E27FC236}">
                <a16:creationId xmlns:a16="http://schemas.microsoft.com/office/drawing/2014/main" id="{00000000-0008-0000-0100-00001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4" name="Textfeld 23">
            <a:extLst>
              <a:ext uri="{FF2B5EF4-FFF2-40B4-BE49-F238E27FC236}">
                <a16:creationId xmlns:a16="http://schemas.microsoft.com/office/drawing/2014/main" id="{00000000-0008-0000-0100-000018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73269</xdr:colOff>
      <xdr:row>24</xdr:row>
      <xdr:rowOff>51289</xdr:rowOff>
    </xdr:from>
    <xdr:to>
      <xdr:col>7</xdr:col>
      <xdr:colOff>329429</xdr:colOff>
      <xdr:row>25</xdr:row>
      <xdr:rowOff>154657</xdr:rowOff>
    </xdr:to>
    <xdr:grpSp>
      <xdr:nvGrpSpPr>
        <xdr:cNvPr id="25" name="Gruppieren 24">
          <a:extLst>
            <a:ext uri="{FF2B5EF4-FFF2-40B4-BE49-F238E27FC236}">
              <a16:creationId xmlns:a16="http://schemas.microsoft.com/office/drawing/2014/main" id="{00000000-0008-0000-0100-000019000000}"/>
            </a:ext>
          </a:extLst>
        </xdr:cNvPr>
        <xdr:cNvGrpSpPr/>
      </xdr:nvGrpSpPr>
      <xdr:grpSpPr>
        <a:xfrm>
          <a:off x="5612423" y="4265735"/>
          <a:ext cx="256160" cy="273353"/>
          <a:chOff x="3720701" y="3699019"/>
          <a:chExt cx="368229" cy="303463"/>
        </a:xfrm>
      </xdr:grpSpPr>
      <xdr:sp macro="" textlink="">
        <xdr:nvSpPr>
          <xdr:cNvPr id="26" name="Achteck 25">
            <a:extLst>
              <a:ext uri="{FF2B5EF4-FFF2-40B4-BE49-F238E27FC236}">
                <a16:creationId xmlns:a16="http://schemas.microsoft.com/office/drawing/2014/main" id="{00000000-0008-0000-0100-00001A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7" name="Textfeld 26">
            <a:extLst>
              <a:ext uri="{FF2B5EF4-FFF2-40B4-BE49-F238E27FC236}">
                <a16:creationId xmlns:a16="http://schemas.microsoft.com/office/drawing/2014/main" id="{00000000-0008-0000-0100-00001B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328438</xdr:colOff>
      <xdr:row>24</xdr:row>
      <xdr:rowOff>72329</xdr:rowOff>
    </xdr:from>
    <xdr:to>
      <xdr:col>7</xdr:col>
      <xdr:colOff>562900</xdr:colOff>
      <xdr:row>25</xdr:row>
      <xdr:rowOff>153867</xdr:rowOff>
    </xdr:to>
    <xdr:sp macro="" textlink="">
      <xdr:nvSpPr>
        <xdr:cNvPr id="33" name="Achteck 32">
          <a:extLst>
            <a:ext uri="{FF2B5EF4-FFF2-40B4-BE49-F238E27FC236}">
              <a16:creationId xmlns:a16="http://schemas.microsoft.com/office/drawing/2014/main" id="{00000000-0008-0000-0100-000021000000}"/>
            </a:ext>
          </a:extLst>
        </xdr:cNvPr>
        <xdr:cNvSpPr/>
      </xdr:nvSpPr>
      <xdr:spPr>
        <a:xfrm>
          <a:off x="5662438" y="408015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322384</xdr:colOff>
      <xdr:row>24</xdr:row>
      <xdr:rowOff>58615</xdr:rowOff>
    </xdr:from>
    <xdr:to>
      <xdr:col>7</xdr:col>
      <xdr:colOff>500583</xdr:colOff>
      <xdr:row>25</xdr:row>
      <xdr:rowOff>128068</xdr:rowOff>
    </xdr:to>
    <xdr:sp macro="" textlink="">
      <xdr:nvSpPr>
        <xdr:cNvPr id="34" name="Textfeld 33">
          <a:extLst>
            <a:ext uri="{FF2B5EF4-FFF2-40B4-BE49-F238E27FC236}">
              <a16:creationId xmlns:a16="http://schemas.microsoft.com/office/drawing/2014/main" id="{00000000-0008-0000-0100-000022000000}"/>
            </a:ext>
          </a:extLst>
        </xdr:cNvPr>
        <xdr:cNvSpPr txBox="1"/>
      </xdr:nvSpPr>
      <xdr:spPr>
        <a:xfrm>
          <a:off x="5656384" y="406644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570227</xdr:colOff>
      <xdr:row>24</xdr:row>
      <xdr:rowOff>72329</xdr:rowOff>
    </xdr:from>
    <xdr:to>
      <xdr:col>8</xdr:col>
      <xdr:colOff>42689</xdr:colOff>
      <xdr:row>25</xdr:row>
      <xdr:rowOff>153867</xdr:rowOff>
    </xdr:to>
    <xdr:sp macro="" textlink="">
      <xdr:nvSpPr>
        <xdr:cNvPr id="35" name="Achteck 34">
          <a:extLst>
            <a:ext uri="{FF2B5EF4-FFF2-40B4-BE49-F238E27FC236}">
              <a16:creationId xmlns:a16="http://schemas.microsoft.com/office/drawing/2014/main" id="{00000000-0008-0000-0100-000023000000}"/>
            </a:ext>
          </a:extLst>
        </xdr:cNvPr>
        <xdr:cNvSpPr/>
      </xdr:nvSpPr>
      <xdr:spPr>
        <a:xfrm>
          <a:off x="5904227" y="408015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564173</xdr:colOff>
      <xdr:row>24</xdr:row>
      <xdr:rowOff>58615</xdr:rowOff>
    </xdr:from>
    <xdr:to>
      <xdr:col>7</xdr:col>
      <xdr:colOff>742372</xdr:colOff>
      <xdr:row>25</xdr:row>
      <xdr:rowOff>128068</xdr:rowOff>
    </xdr:to>
    <xdr:sp macro="" textlink="">
      <xdr:nvSpPr>
        <xdr:cNvPr id="36" name="Textfeld 35">
          <a:extLst>
            <a:ext uri="{FF2B5EF4-FFF2-40B4-BE49-F238E27FC236}">
              <a16:creationId xmlns:a16="http://schemas.microsoft.com/office/drawing/2014/main" id="{00000000-0008-0000-0100-000024000000}"/>
            </a:ext>
          </a:extLst>
        </xdr:cNvPr>
        <xdr:cNvSpPr txBox="1"/>
      </xdr:nvSpPr>
      <xdr:spPr>
        <a:xfrm>
          <a:off x="5898173" y="406644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xdr:from>
      <xdr:col>6</xdr:col>
      <xdr:colOff>674077</xdr:colOff>
      <xdr:row>22</xdr:row>
      <xdr:rowOff>73669</xdr:rowOff>
    </xdr:from>
    <xdr:to>
      <xdr:col>7</xdr:col>
      <xdr:colOff>190502</xdr:colOff>
      <xdr:row>23</xdr:row>
      <xdr:rowOff>73269</xdr:rowOff>
    </xdr:to>
    <xdr:cxnSp macro="">
      <xdr:nvCxnSpPr>
        <xdr:cNvPr id="38" name="Gerade Verbindung mit Pfeil 37">
          <a:extLst>
            <a:ext uri="{FF2B5EF4-FFF2-40B4-BE49-F238E27FC236}">
              <a16:creationId xmlns:a16="http://schemas.microsoft.com/office/drawing/2014/main" id="{00000000-0008-0000-0100-000026000000}"/>
            </a:ext>
          </a:extLst>
        </xdr:cNvPr>
        <xdr:cNvCxnSpPr>
          <a:stCxn id="18" idx="1"/>
        </xdr:cNvCxnSpPr>
      </xdr:nvCxnSpPr>
      <xdr:spPr>
        <a:xfrm flipH="1">
          <a:off x="5246077" y="3759111"/>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277150</xdr:colOff>
      <xdr:row>20</xdr:row>
      <xdr:rowOff>123618</xdr:rowOff>
    </xdr:from>
    <xdr:to>
      <xdr:col>0</xdr:col>
      <xdr:colOff>511612</xdr:colOff>
      <xdr:row>22</xdr:row>
      <xdr:rowOff>29310</xdr:rowOff>
    </xdr:to>
    <xdr:sp macro="" textlink="">
      <xdr:nvSpPr>
        <xdr:cNvPr id="40" name="Achteck 39">
          <a:extLst>
            <a:ext uri="{FF2B5EF4-FFF2-40B4-BE49-F238E27FC236}">
              <a16:creationId xmlns:a16="http://schemas.microsoft.com/office/drawing/2014/main" id="{00000000-0008-0000-0100-000028000000}"/>
            </a:ext>
          </a:extLst>
        </xdr:cNvPr>
        <xdr:cNvSpPr/>
      </xdr:nvSpPr>
      <xdr:spPr>
        <a:xfrm>
          <a:off x="277150" y="347202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271096</xdr:colOff>
      <xdr:row>20</xdr:row>
      <xdr:rowOff>109904</xdr:rowOff>
    </xdr:from>
    <xdr:to>
      <xdr:col>0</xdr:col>
      <xdr:colOff>449295</xdr:colOff>
      <xdr:row>22</xdr:row>
      <xdr:rowOff>3511</xdr:rowOff>
    </xdr:to>
    <xdr:sp macro="" textlink="">
      <xdr:nvSpPr>
        <xdr:cNvPr id="41" name="Textfeld 40">
          <a:extLst>
            <a:ext uri="{FF2B5EF4-FFF2-40B4-BE49-F238E27FC236}">
              <a16:creationId xmlns:a16="http://schemas.microsoft.com/office/drawing/2014/main" id="{00000000-0008-0000-0100-000029000000}"/>
            </a:ext>
          </a:extLst>
        </xdr:cNvPr>
        <xdr:cNvSpPr txBox="1"/>
      </xdr:nvSpPr>
      <xdr:spPr>
        <a:xfrm>
          <a:off x="271096" y="345830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3</a:t>
          </a:r>
        </a:p>
      </xdr:txBody>
    </xdr:sp>
    <xdr:clientData/>
  </xdr:twoCellAnchor>
  <xdr:twoCellAnchor>
    <xdr:from>
      <xdr:col>3</xdr:col>
      <xdr:colOff>291804</xdr:colOff>
      <xdr:row>20</xdr:row>
      <xdr:rowOff>145599</xdr:rowOff>
    </xdr:from>
    <xdr:to>
      <xdr:col>3</xdr:col>
      <xdr:colOff>526266</xdr:colOff>
      <xdr:row>22</xdr:row>
      <xdr:rowOff>51291</xdr:rowOff>
    </xdr:to>
    <xdr:sp macro="" textlink="">
      <xdr:nvSpPr>
        <xdr:cNvPr id="42" name="Achteck 41">
          <a:extLst>
            <a:ext uri="{FF2B5EF4-FFF2-40B4-BE49-F238E27FC236}">
              <a16:creationId xmlns:a16="http://schemas.microsoft.com/office/drawing/2014/main" id="{00000000-0008-0000-0100-00002A000000}"/>
            </a:ext>
          </a:extLst>
        </xdr:cNvPr>
        <xdr:cNvSpPr/>
      </xdr:nvSpPr>
      <xdr:spPr>
        <a:xfrm>
          <a:off x="2577804" y="3494003"/>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3</xdr:col>
      <xdr:colOff>285750</xdr:colOff>
      <xdr:row>20</xdr:row>
      <xdr:rowOff>131885</xdr:rowOff>
    </xdr:from>
    <xdr:to>
      <xdr:col>3</xdr:col>
      <xdr:colOff>463949</xdr:colOff>
      <xdr:row>22</xdr:row>
      <xdr:rowOff>25492</xdr:rowOff>
    </xdr:to>
    <xdr:sp macro="" textlink="">
      <xdr:nvSpPr>
        <xdr:cNvPr id="43" name="Textfeld 42">
          <a:extLst>
            <a:ext uri="{FF2B5EF4-FFF2-40B4-BE49-F238E27FC236}">
              <a16:creationId xmlns:a16="http://schemas.microsoft.com/office/drawing/2014/main" id="{00000000-0008-0000-0100-00002B000000}"/>
            </a:ext>
          </a:extLst>
        </xdr:cNvPr>
        <xdr:cNvSpPr txBox="1"/>
      </xdr:nvSpPr>
      <xdr:spPr>
        <a:xfrm>
          <a:off x="2571750" y="348028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2</xdr:col>
      <xdr:colOff>284477</xdr:colOff>
      <xdr:row>20</xdr:row>
      <xdr:rowOff>152926</xdr:rowOff>
    </xdr:from>
    <xdr:to>
      <xdr:col>2</xdr:col>
      <xdr:colOff>518939</xdr:colOff>
      <xdr:row>22</xdr:row>
      <xdr:rowOff>58618</xdr:rowOff>
    </xdr:to>
    <xdr:sp macro="" textlink="">
      <xdr:nvSpPr>
        <xdr:cNvPr id="48" name="Achteck 47">
          <a:extLst>
            <a:ext uri="{FF2B5EF4-FFF2-40B4-BE49-F238E27FC236}">
              <a16:creationId xmlns:a16="http://schemas.microsoft.com/office/drawing/2014/main" id="{00000000-0008-0000-0100-000030000000}"/>
            </a:ext>
          </a:extLst>
        </xdr:cNvPr>
        <xdr:cNvSpPr/>
      </xdr:nvSpPr>
      <xdr:spPr>
        <a:xfrm>
          <a:off x="1808477" y="3501330"/>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2</xdr:col>
      <xdr:colOff>278423</xdr:colOff>
      <xdr:row>20</xdr:row>
      <xdr:rowOff>139212</xdr:rowOff>
    </xdr:from>
    <xdr:to>
      <xdr:col>2</xdr:col>
      <xdr:colOff>456622</xdr:colOff>
      <xdr:row>22</xdr:row>
      <xdr:rowOff>32819</xdr:rowOff>
    </xdr:to>
    <xdr:sp macro="" textlink="">
      <xdr:nvSpPr>
        <xdr:cNvPr id="49" name="Textfeld 48">
          <a:extLst>
            <a:ext uri="{FF2B5EF4-FFF2-40B4-BE49-F238E27FC236}">
              <a16:creationId xmlns:a16="http://schemas.microsoft.com/office/drawing/2014/main" id="{00000000-0008-0000-0100-000031000000}"/>
            </a:ext>
          </a:extLst>
        </xdr:cNvPr>
        <xdr:cNvSpPr txBox="1"/>
      </xdr:nvSpPr>
      <xdr:spPr>
        <a:xfrm>
          <a:off x="1802423" y="3487616"/>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5</a:t>
          </a:r>
        </a:p>
      </xdr:txBody>
    </xdr:sp>
    <xdr:clientData/>
  </xdr:twoCellAnchor>
  <xdr:twoCellAnchor>
    <xdr:from>
      <xdr:col>1</xdr:col>
      <xdr:colOff>262496</xdr:colOff>
      <xdr:row>20</xdr:row>
      <xdr:rowOff>138272</xdr:rowOff>
    </xdr:from>
    <xdr:to>
      <xdr:col>1</xdr:col>
      <xdr:colOff>496958</xdr:colOff>
      <xdr:row>22</xdr:row>
      <xdr:rowOff>43964</xdr:rowOff>
    </xdr:to>
    <xdr:sp macro="" textlink="">
      <xdr:nvSpPr>
        <xdr:cNvPr id="50" name="Achteck 49">
          <a:extLst>
            <a:ext uri="{FF2B5EF4-FFF2-40B4-BE49-F238E27FC236}">
              <a16:creationId xmlns:a16="http://schemas.microsoft.com/office/drawing/2014/main" id="{00000000-0008-0000-0100-000032000000}"/>
            </a:ext>
          </a:extLst>
        </xdr:cNvPr>
        <xdr:cNvSpPr/>
      </xdr:nvSpPr>
      <xdr:spPr>
        <a:xfrm>
          <a:off x="1024496" y="348667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256442</xdr:colOff>
      <xdr:row>20</xdr:row>
      <xdr:rowOff>124558</xdr:rowOff>
    </xdr:from>
    <xdr:to>
      <xdr:col>1</xdr:col>
      <xdr:colOff>434641</xdr:colOff>
      <xdr:row>22</xdr:row>
      <xdr:rowOff>18165</xdr:rowOff>
    </xdr:to>
    <xdr:sp macro="" textlink="">
      <xdr:nvSpPr>
        <xdr:cNvPr id="51" name="Textfeld 50">
          <a:extLst>
            <a:ext uri="{FF2B5EF4-FFF2-40B4-BE49-F238E27FC236}">
              <a16:creationId xmlns:a16="http://schemas.microsoft.com/office/drawing/2014/main" id="{00000000-0008-0000-0100-000033000000}"/>
            </a:ext>
          </a:extLst>
        </xdr:cNvPr>
        <xdr:cNvSpPr txBox="1"/>
      </xdr:nvSpPr>
      <xdr:spPr>
        <a:xfrm>
          <a:off x="1018442" y="347296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4</a:t>
          </a:r>
        </a:p>
      </xdr:txBody>
    </xdr:sp>
    <xdr:clientData/>
  </xdr:twoCellAnchor>
  <xdr:twoCellAnchor>
    <xdr:from>
      <xdr:col>5</xdr:col>
      <xdr:colOff>526266</xdr:colOff>
      <xdr:row>22</xdr:row>
      <xdr:rowOff>94310</xdr:rowOff>
    </xdr:from>
    <xdr:to>
      <xdr:col>5</xdr:col>
      <xdr:colOff>760728</xdr:colOff>
      <xdr:row>24</xdr:row>
      <xdr:rowOff>14655</xdr:rowOff>
    </xdr:to>
    <xdr:sp macro="" textlink="">
      <xdr:nvSpPr>
        <xdr:cNvPr id="52" name="Achteck 51">
          <a:extLst>
            <a:ext uri="{FF2B5EF4-FFF2-40B4-BE49-F238E27FC236}">
              <a16:creationId xmlns:a16="http://schemas.microsoft.com/office/drawing/2014/main" id="{00000000-0008-0000-0100-000034000000}"/>
            </a:ext>
          </a:extLst>
        </xdr:cNvPr>
        <xdr:cNvSpPr/>
      </xdr:nvSpPr>
      <xdr:spPr>
        <a:xfrm>
          <a:off x="4336266" y="377975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520212</xdr:colOff>
      <xdr:row>22</xdr:row>
      <xdr:rowOff>80596</xdr:rowOff>
    </xdr:from>
    <xdr:to>
      <xdr:col>5</xdr:col>
      <xdr:colOff>698411</xdr:colOff>
      <xdr:row>23</xdr:row>
      <xdr:rowOff>150048</xdr:rowOff>
    </xdr:to>
    <xdr:sp macro="" textlink="">
      <xdr:nvSpPr>
        <xdr:cNvPr id="53" name="Textfeld 52">
          <a:extLst>
            <a:ext uri="{FF2B5EF4-FFF2-40B4-BE49-F238E27FC236}">
              <a16:creationId xmlns:a16="http://schemas.microsoft.com/office/drawing/2014/main" id="{00000000-0008-0000-0100-000035000000}"/>
            </a:ext>
          </a:extLst>
        </xdr:cNvPr>
        <xdr:cNvSpPr txBox="1"/>
      </xdr:nvSpPr>
      <xdr:spPr>
        <a:xfrm>
          <a:off x="4330212" y="376603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editAs="oneCell">
    <xdr:from>
      <xdr:col>5</xdr:col>
      <xdr:colOff>732692</xdr:colOff>
      <xdr:row>27</xdr:row>
      <xdr:rowOff>0</xdr:rowOff>
    </xdr:from>
    <xdr:to>
      <xdr:col>14</xdr:col>
      <xdr:colOff>417549</xdr:colOff>
      <xdr:row>36</xdr:row>
      <xdr:rowOff>101650</xdr:rowOff>
    </xdr:to>
    <xdr:pic>
      <xdr:nvPicPr>
        <xdr:cNvPr id="44" name="Grafik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2"/>
        <a:stretch>
          <a:fillRect/>
        </a:stretch>
      </xdr:blipFill>
      <xdr:spPr>
        <a:xfrm>
          <a:off x="4542692" y="4491404"/>
          <a:ext cx="6542857" cy="1552381"/>
        </a:xfrm>
        <a:prstGeom prst="rect">
          <a:avLst/>
        </a:prstGeom>
      </xdr:spPr>
    </xdr:pic>
    <xdr:clientData/>
  </xdr:twoCellAnchor>
  <xdr:twoCellAnchor editAs="oneCell">
    <xdr:from>
      <xdr:col>5</xdr:col>
      <xdr:colOff>696057</xdr:colOff>
      <xdr:row>36</xdr:row>
      <xdr:rowOff>124557</xdr:rowOff>
    </xdr:from>
    <xdr:to>
      <xdr:col>14</xdr:col>
      <xdr:colOff>352343</xdr:colOff>
      <xdr:row>46</xdr:row>
      <xdr:rowOff>84063</xdr:rowOff>
    </xdr:to>
    <xdr:pic>
      <xdr:nvPicPr>
        <xdr:cNvPr id="45" name="Grafik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3"/>
        <a:stretch>
          <a:fillRect/>
        </a:stretch>
      </xdr:blipFill>
      <xdr:spPr>
        <a:xfrm>
          <a:off x="4506057" y="6066692"/>
          <a:ext cx="6514286" cy="1571429"/>
        </a:xfrm>
        <a:prstGeom prst="rect">
          <a:avLst/>
        </a:prstGeom>
      </xdr:spPr>
    </xdr:pic>
    <xdr:clientData/>
  </xdr:twoCellAnchor>
  <xdr:twoCellAnchor>
    <xdr:from>
      <xdr:col>1</xdr:col>
      <xdr:colOff>43962</xdr:colOff>
      <xdr:row>24</xdr:row>
      <xdr:rowOff>131885</xdr:rowOff>
    </xdr:from>
    <xdr:to>
      <xdr:col>1</xdr:col>
      <xdr:colOff>278424</xdr:colOff>
      <xdr:row>26</xdr:row>
      <xdr:rowOff>52230</xdr:rowOff>
    </xdr:to>
    <xdr:sp macro="" textlink="">
      <xdr:nvSpPr>
        <xdr:cNvPr id="46" name="Achteck 45">
          <a:extLst>
            <a:ext uri="{FF2B5EF4-FFF2-40B4-BE49-F238E27FC236}">
              <a16:creationId xmlns:a16="http://schemas.microsoft.com/office/drawing/2014/main" id="{00000000-0008-0000-0100-00002E000000}"/>
            </a:ext>
          </a:extLst>
        </xdr:cNvPr>
        <xdr:cNvSpPr/>
      </xdr:nvSpPr>
      <xdr:spPr>
        <a:xfrm>
          <a:off x="805962" y="413971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43962</xdr:colOff>
      <xdr:row>24</xdr:row>
      <xdr:rowOff>117232</xdr:rowOff>
    </xdr:from>
    <xdr:to>
      <xdr:col>1</xdr:col>
      <xdr:colOff>222161</xdr:colOff>
      <xdr:row>26</xdr:row>
      <xdr:rowOff>25492</xdr:rowOff>
    </xdr:to>
    <xdr:sp macro="" textlink="">
      <xdr:nvSpPr>
        <xdr:cNvPr id="47" name="Textfeld 46">
          <a:extLst>
            <a:ext uri="{FF2B5EF4-FFF2-40B4-BE49-F238E27FC236}">
              <a16:creationId xmlns:a16="http://schemas.microsoft.com/office/drawing/2014/main" id="{00000000-0008-0000-0100-00002F000000}"/>
            </a:ext>
          </a:extLst>
        </xdr:cNvPr>
        <xdr:cNvSpPr txBox="1"/>
      </xdr:nvSpPr>
      <xdr:spPr>
        <a:xfrm>
          <a:off x="805962" y="412505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7</xdr:col>
      <xdr:colOff>187762</xdr:colOff>
      <xdr:row>31</xdr:row>
      <xdr:rowOff>5874</xdr:rowOff>
    </xdr:from>
    <xdr:to>
      <xdr:col>7</xdr:col>
      <xdr:colOff>445195</xdr:colOff>
      <xdr:row>32</xdr:row>
      <xdr:rowOff>109242</xdr:rowOff>
    </xdr:to>
    <xdr:grpSp>
      <xdr:nvGrpSpPr>
        <xdr:cNvPr id="54" name="Gruppieren 53">
          <a:extLst>
            <a:ext uri="{FF2B5EF4-FFF2-40B4-BE49-F238E27FC236}">
              <a16:creationId xmlns:a16="http://schemas.microsoft.com/office/drawing/2014/main" id="{00000000-0008-0000-0100-000036000000}"/>
            </a:ext>
          </a:extLst>
        </xdr:cNvPr>
        <xdr:cNvGrpSpPr/>
      </xdr:nvGrpSpPr>
      <xdr:grpSpPr>
        <a:xfrm>
          <a:off x="5726916" y="5410212"/>
          <a:ext cx="257433" cy="273353"/>
          <a:chOff x="3729404" y="3699019"/>
          <a:chExt cx="370059" cy="303463"/>
        </a:xfrm>
      </xdr:grpSpPr>
      <xdr:sp macro="" textlink="">
        <xdr:nvSpPr>
          <xdr:cNvPr id="55" name="Achteck 54">
            <a:extLst>
              <a:ext uri="{FF2B5EF4-FFF2-40B4-BE49-F238E27FC236}">
                <a16:creationId xmlns:a16="http://schemas.microsoft.com/office/drawing/2014/main" id="{00000000-0008-0000-0100-00003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6" name="Textfeld 55">
            <a:extLst>
              <a:ext uri="{FF2B5EF4-FFF2-40B4-BE49-F238E27FC236}">
                <a16:creationId xmlns:a16="http://schemas.microsoft.com/office/drawing/2014/main" id="{00000000-0008-0000-0100-000038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6</xdr:col>
      <xdr:colOff>5861</xdr:colOff>
      <xdr:row>33</xdr:row>
      <xdr:rowOff>101125</xdr:rowOff>
    </xdr:from>
    <xdr:to>
      <xdr:col>6</xdr:col>
      <xdr:colOff>262021</xdr:colOff>
      <xdr:row>35</xdr:row>
      <xdr:rowOff>43301</xdr:rowOff>
    </xdr:to>
    <xdr:grpSp>
      <xdr:nvGrpSpPr>
        <xdr:cNvPr id="57" name="Gruppieren 56">
          <a:extLst>
            <a:ext uri="{FF2B5EF4-FFF2-40B4-BE49-F238E27FC236}">
              <a16:creationId xmlns:a16="http://schemas.microsoft.com/office/drawing/2014/main" id="{00000000-0008-0000-0100-000039000000}"/>
            </a:ext>
          </a:extLst>
        </xdr:cNvPr>
        <xdr:cNvGrpSpPr/>
      </xdr:nvGrpSpPr>
      <xdr:grpSpPr>
        <a:xfrm>
          <a:off x="4753707" y="5845433"/>
          <a:ext cx="256160" cy="282145"/>
          <a:chOff x="3720701" y="3699019"/>
          <a:chExt cx="368229" cy="303463"/>
        </a:xfrm>
      </xdr:grpSpPr>
      <xdr:sp macro="" textlink="">
        <xdr:nvSpPr>
          <xdr:cNvPr id="58" name="Achteck 57">
            <a:extLst>
              <a:ext uri="{FF2B5EF4-FFF2-40B4-BE49-F238E27FC236}">
                <a16:creationId xmlns:a16="http://schemas.microsoft.com/office/drawing/2014/main" id="{00000000-0008-0000-0100-00003A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9" name="Textfeld 58">
            <a:extLst>
              <a:ext uri="{FF2B5EF4-FFF2-40B4-BE49-F238E27FC236}">
                <a16:creationId xmlns:a16="http://schemas.microsoft.com/office/drawing/2014/main" id="{00000000-0008-0000-0100-00003B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430822</xdr:colOff>
      <xdr:row>33</xdr:row>
      <xdr:rowOff>108447</xdr:rowOff>
    </xdr:from>
    <xdr:to>
      <xdr:col>6</xdr:col>
      <xdr:colOff>686982</xdr:colOff>
      <xdr:row>35</xdr:row>
      <xdr:rowOff>50623</xdr:rowOff>
    </xdr:to>
    <xdr:grpSp>
      <xdr:nvGrpSpPr>
        <xdr:cNvPr id="60" name="Gruppieren 59">
          <a:extLst>
            <a:ext uri="{FF2B5EF4-FFF2-40B4-BE49-F238E27FC236}">
              <a16:creationId xmlns:a16="http://schemas.microsoft.com/office/drawing/2014/main" id="{00000000-0008-0000-0100-00003C000000}"/>
            </a:ext>
          </a:extLst>
        </xdr:cNvPr>
        <xdr:cNvGrpSpPr/>
      </xdr:nvGrpSpPr>
      <xdr:grpSpPr>
        <a:xfrm>
          <a:off x="5178668" y="5852755"/>
          <a:ext cx="256160" cy="282145"/>
          <a:chOff x="3720701" y="3699019"/>
          <a:chExt cx="368229" cy="303463"/>
        </a:xfrm>
      </xdr:grpSpPr>
      <xdr:sp macro="" textlink="">
        <xdr:nvSpPr>
          <xdr:cNvPr id="61" name="Achteck 60">
            <a:extLst>
              <a:ext uri="{FF2B5EF4-FFF2-40B4-BE49-F238E27FC236}">
                <a16:creationId xmlns:a16="http://schemas.microsoft.com/office/drawing/2014/main" id="{00000000-0008-0000-0100-00003D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62" name="Textfeld 61">
            <a:extLst>
              <a:ext uri="{FF2B5EF4-FFF2-40B4-BE49-F238E27FC236}">
                <a16:creationId xmlns:a16="http://schemas.microsoft.com/office/drawing/2014/main" id="{00000000-0008-0000-0100-00003E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71802</xdr:colOff>
      <xdr:row>33</xdr:row>
      <xdr:rowOff>115774</xdr:rowOff>
    </xdr:from>
    <xdr:to>
      <xdr:col>7</xdr:col>
      <xdr:colOff>327962</xdr:colOff>
      <xdr:row>35</xdr:row>
      <xdr:rowOff>57950</xdr:rowOff>
    </xdr:to>
    <xdr:grpSp>
      <xdr:nvGrpSpPr>
        <xdr:cNvPr id="63" name="Gruppieren 62">
          <a:extLst>
            <a:ext uri="{FF2B5EF4-FFF2-40B4-BE49-F238E27FC236}">
              <a16:creationId xmlns:a16="http://schemas.microsoft.com/office/drawing/2014/main" id="{00000000-0008-0000-0100-00003F000000}"/>
            </a:ext>
          </a:extLst>
        </xdr:cNvPr>
        <xdr:cNvGrpSpPr/>
      </xdr:nvGrpSpPr>
      <xdr:grpSpPr>
        <a:xfrm>
          <a:off x="5610956" y="5860082"/>
          <a:ext cx="256160" cy="282145"/>
          <a:chOff x="3720701" y="3699019"/>
          <a:chExt cx="368229" cy="303463"/>
        </a:xfrm>
      </xdr:grpSpPr>
      <xdr:sp macro="" textlink="">
        <xdr:nvSpPr>
          <xdr:cNvPr id="64" name="Achteck 63">
            <a:extLst>
              <a:ext uri="{FF2B5EF4-FFF2-40B4-BE49-F238E27FC236}">
                <a16:creationId xmlns:a16="http://schemas.microsoft.com/office/drawing/2014/main" id="{00000000-0008-0000-0100-000040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65" name="Textfeld 64">
            <a:extLst>
              <a:ext uri="{FF2B5EF4-FFF2-40B4-BE49-F238E27FC236}">
                <a16:creationId xmlns:a16="http://schemas.microsoft.com/office/drawing/2014/main" id="{00000000-0008-0000-0100-000041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320917</xdr:colOff>
      <xdr:row>33</xdr:row>
      <xdr:rowOff>123100</xdr:rowOff>
    </xdr:from>
    <xdr:to>
      <xdr:col>7</xdr:col>
      <xdr:colOff>499116</xdr:colOff>
      <xdr:row>35</xdr:row>
      <xdr:rowOff>31361</xdr:rowOff>
    </xdr:to>
    <xdr:sp macro="" textlink="">
      <xdr:nvSpPr>
        <xdr:cNvPr id="66" name="Textfeld 65">
          <a:extLst>
            <a:ext uri="{FF2B5EF4-FFF2-40B4-BE49-F238E27FC236}">
              <a16:creationId xmlns:a16="http://schemas.microsoft.com/office/drawing/2014/main" id="{00000000-0008-0000-0100-000042000000}"/>
            </a:ext>
          </a:extLst>
        </xdr:cNvPr>
        <xdr:cNvSpPr txBox="1"/>
      </xdr:nvSpPr>
      <xdr:spPr>
        <a:xfrm>
          <a:off x="5654917" y="558165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568760</xdr:colOff>
      <xdr:row>33</xdr:row>
      <xdr:rowOff>136814</xdr:rowOff>
    </xdr:from>
    <xdr:to>
      <xdr:col>8</xdr:col>
      <xdr:colOff>41222</xdr:colOff>
      <xdr:row>35</xdr:row>
      <xdr:rowOff>57160</xdr:rowOff>
    </xdr:to>
    <xdr:sp macro="" textlink="">
      <xdr:nvSpPr>
        <xdr:cNvPr id="67" name="Achteck 66">
          <a:extLst>
            <a:ext uri="{FF2B5EF4-FFF2-40B4-BE49-F238E27FC236}">
              <a16:creationId xmlns:a16="http://schemas.microsoft.com/office/drawing/2014/main" id="{00000000-0008-0000-0100-000043000000}"/>
            </a:ext>
          </a:extLst>
        </xdr:cNvPr>
        <xdr:cNvSpPr/>
      </xdr:nvSpPr>
      <xdr:spPr>
        <a:xfrm>
          <a:off x="5902760" y="559537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6</xdr:col>
      <xdr:colOff>672610</xdr:colOff>
      <xdr:row>31</xdr:row>
      <xdr:rowOff>138154</xdr:rowOff>
    </xdr:from>
    <xdr:to>
      <xdr:col>7</xdr:col>
      <xdr:colOff>189035</xdr:colOff>
      <xdr:row>32</xdr:row>
      <xdr:rowOff>137755</xdr:rowOff>
    </xdr:to>
    <xdr:cxnSp macro="">
      <xdr:nvCxnSpPr>
        <xdr:cNvPr id="68" name="Gerade Verbindung mit Pfeil 67">
          <a:extLst>
            <a:ext uri="{FF2B5EF4-FFF2-40B4-BE49-F238E27FC236}">
              <a16:creationId xmlns:a16="http://schemas.microsoft.com/office/drawing/2014/main" id="{00000000-0008-0000-0100-000044000000}"/>
            </a:ext>
          </a:extLst>
        </xdr:cNvPr>
        <xdr:cNvCxnSpPr>
          <a:stCxn id="56" idx="1"/>
        </xdr:cNvCxnSpPr>
      </xdr:nvCxnSpPr>
      <xdr:spPr>
        <a:xfrm flipH="1">
          <a:off x="5244610" y="5274327"/>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524799</xdr:colOff>
      <xdr:row>31</xdr:row>
      <xdr:rowOff>158795</xdr:rowOff>
    </xdr:from>
    <xdr:to>
      <xdr:col>5</xdr:col>
      <xdr:colOff>759261</xdr:colOff>
      <xdr:row>33</xdr:row>
      <xdr:rowOff>79140</xdr:rowOff>
    </xdr:to>
    <xdr:sp macro="" textlink="">
      <xdr:nvSpPr>
        <xdr:cNvPr id="69" name="Achteck 68">
          <a:extLst>
            <a:ext uri="{FF2B5EF4-FFF2-40B4-BE49-F238E27FC236}">
              <a16:creationId xmlns:a16="http://schemas.microsoft.com/office/drawing/2014/main" id="{00000000-0008-0000-0100-000045000000}"/>
            </a:ext>
          </a:extLst>
        </xdr:cNvPr>
        <xdr:cNvSpPr/>
      </xdr:nvSpPr>
      <xdr:spPr>
        <a:xfrm>
          <a:off x="4334799" y="5294968"/>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518745</xdr:colOff>
      <xdr:row>31</xdr:row>
      <xdr:rowOff>145081</xdr:rowOff>
    </xdr:from>
    <xdr:to>
      <xdr:col>5</xdr:col>
      <xdr:colOff>696944</xdr:colOff>
      <xdr:row>33</xdr:row>
      <xdr:rowOff>53341</xdr:rowOff>
    </xdr:to>
    <xdr:sp macro="" textlink="">
      <xdr:nvSpPr>
        <xdr:cNvPr id="70" name="Textfeld 69">
          <a:extLst>
            <a:ext uri="{FF2B5EF4-FFF2-40B4-BE49-F238E27FC236}">
              <a16:creationId xmlns:a16="http://schemas.microsoft.com/office/drawing/2014/main" id="{00000000-0008-0000-0100-000046000000}"/>
            </a:ext>
          </a:extLst>
        </xdr:cNvPr>
        <xdr:cNvSpPr txBox="1"/>
      </xdr:nvSpPr>
      <xdr:spPr>
        <a:xfrm>
          <a:off x="4328745" y="5281254"/>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xdr:from>
      <xdr:col>7</xdr:col>
      <xdr:colOff>174576</xdr:colOff>
      <xdr:row>40</xdr:row>
      <xdr:rowOff>139215</xdr:rowOff>
    </xdr:from>
    <xdr:to>
      <xdr:col>7</xdr:col>
      <xdr:colOff>432009</xdr:colOff>
      <xdr:row>42</xdr:row>
      <xdr:rowOff>81391</xdr:rowOff>
    </xdr:to>
    <xdr:grpSp>
      <xdr:nvGrpSpPr>
        <xdr:cNvPr id="71" name="Gruppieren 70">
          <a:extLst>
            <a:ext uri="{FF2B5EF4-FFF2-40B4-BE49-F238E27FC236}">
              <a16:creationId xmlns:a16="http://schemas.microsoft.com/office/drawing/2014/main" id="{00000000-0008-0000-0100-000047000000}"/>
            </a:ext>
          </a:extLst>
        </xdr:cNvPr>
        <xdr:cNvGrpSpPr/>
      </xdr:nvGrpSpPr>
      <xdr:grpSpPr>
        <a:xfrm>
          <a:off x="5713730" y="7073415"/>
          <a:ext cx="257433" cy="282145"/>
          <a:chOff x="3729404" y="3699019"/>
          <a:chExt cx="370059" cy="303463"/>
        </a:xfrm>
      </xdr:grpSpPr>
      <xdr:sp macro="" textlink="">
        <xdr:nvSpPr>
          <xdr:cNvPr id="72" name="Achteck 71">
            <a:extLst>
              <a:ext uri="{FF2B5EF4-FFF2-40B4-BE49-F238E27FC236}">
                <a16:creationId xmlns:a16="http://schemas.microsoft.com/office/drawing/2014/main" id="{00000000-0008-0000-0100-000048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3" name="Textfeld 72">
            <a:extLst>
              <a:ext uri="{FF2B5EF4-FFF2-40B4-BE49-F238E27FC236}">
                <a16:creationId xmlns:a16="http://schemas.microsoft.com/office/drawing/2014/main" id="{00000000-0008-0000-0100-000049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5</xdr:col>
      <xdr:colOff>754675</xdr:colOff>
      <xdr:row>43</xdr:row>
      <xdr:rowOff>73274</xdr:rowOff>
    </xdr:from>
    <xdr:to>
      <xdr:col>6</xdr:col>
      <xdr:colOff>248835</xdr:colOff>
      <xdr:row>45</xdr:row>
      <xdr:rowOff>15450</xdr:rowOff>
    </xdr:to>
    <xdr:grpSp>
      <xdr:nvGrpSpPr>
        <xdr:cNvPr id="74" name="Gruppieren 73">
          <a:extLst>
            <a:ext uri="{FF2B5EF4-FFF2-40B4-BE49-F238E27FC236}">
              <a16:creationId xmlns:a16="http://schemas.microsoft.com/office/drawing/2014/main" id="{00000000-0008-0000-0100-00004A000000}"/>
            </a:ext>
          </a:extLst>
        </xdr:cNvPr>
        <xdr:cNvGrpSpPr/>
      </xdr:nvGrpSpPr>
      <xdr:grpSpPr>
        <a:xfrm>
          <a:off x="4711213" y="7517428"/>
          <a:ext cx="285468" cy="282145"/>
          <a:chOff x="3720701" y="3699019"/>
          <a:chExt cx="368229" cy="303463"/>
        </a:xfrm>
      </xdr:grpSpPr>
      <xdr:sp macro="" textlink="">
        <xdr:nvSpPr>
          <xdr:cNvPr id="75" name="Achteck 74">
            <a:extLst>
              <a:ext uri="{FF2B5EF4-FFF2-40B4-BE49-F238E27FC236}">
                <a16:creationId xmlns:a16="http://schemas.microsoft.com/office/drawing/2014/main" id="{00000000-0008-0000-0100-00004B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6" name="Textfeld 75">
            <a:extLst>
              <a:ext uri="{FF2B5EF4-FFF2-40B4-BE49-F238E27FC236}">
                <a16:creationId xmlns:a16="http://schemas.microsoft.com/office/drawing/2014/main" id="{00000000-0008-0000-0100-00004C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417636</xdr:colOff>
      <xdr:row>43</xdr:row>
      <xdr:rowOff>80596</xdr:rowOff>
    </xdr:from>
    <xdr:to>
      <xdr:col>6</xdr:col>
      <xdr:colOff>673796</xdr:colOff>
      <xdr:row>45</xdr:row>
      <xdr:rowOff>22772</xdr:rowOff>
    </xdr:to>
    <xdr:grpSp>
      <xdr:nvGrpSpPr>
        <xdr:cNvPr id="77" name="Gruppieren 76">
          <a:extLst>
            <a:ext uri="{FF2B5EF4-FFF2-40B4-BE49-F238E27FC236}">
              <a16:creationId xmlns:a16="http://schemas.microsoft.com/office/drawing/2014/main" id="{00000000-0008-0000-0100-00004D000000}"/>
            </a:ext>
          </a:extLst>
        </xdr:cNvPr>
        <xdr:cNvGrpSpPr/>
      </xdr:nvGrpSpPr>
      <xdr:grpSpPr>
        <a:xfrm>
          <a:off x="5165482" y="7524750"/>
          <a:ext cx="256160" cy="282145"/>
          <a:chOff x="3720701" y="3699019"/>
          <a:chExt cx="368229" cy="303463"/>
        </a:xfrm>
      </xdr:grpSpPr>
      <xdr:sp macro="" textlink="">
        <xdr:nvSpPr>
          <xdr:cNvPr id="78" name="Achteck 77">
            <a:extLst>
              <a:ext uri="{FF2B5EF4-FFF2-40B4-BE49-F238E27FC236}">
                <a16:creationId xmlns:a16="http://schemas.microsoft.com/office/drawing/2014/main" id="{00000000-0008-0000-0100-00004E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9" name="Textfeld 78">
            <a:extLst>
              <a:ext uri="{FF2B5EF4-FFF2-40B4-BE49-F238E27FC236}">
                <a16:creationId xmlns:a16="http://schemas.microsoft.com/office/drawing/2014/main" id="{00000000-0008-0000-0100-00004F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58616</xdr:colOff>
      <xdr:row>43</xdr:row>
      <xdr:rowOff>87923</xdr:rowOff>
    </xdr:from>
    <xdr:to>
      <xdr:col>7</xdr:col>
      <xdr:colOff>314776</xdr:colOff>
      <xdr:row>45</xdr:row>
      <xdr:rowOff>30099</xdr:rowOff>
    </xdr:to>
    <xdr:grpSp>
      <xdr:nvGrpSpPr>
        <xdr:cNvPr id="80" name="Gruppieren 79">
          <a:extLst>
            <a:ext uri="{FF2B5EF4-FFF2-40B4-BE49-F238E27FC236}">
              <a16:creationId xmlns:a16="http://schemas.microsoft.com/office/drawing/2014/main" id="{00000000-0008-0000-0100-000050000000}"/>
            </a:ext>
          </a:extLst>
        </xdr:cNvPr>
        <xdr:cNvGrpSpPr/>
      </xdr:nvGrpSpPr>
      <xdr:grpSpPr>
        <a:xfrm>
          <a:off x="5597770" y="7532077"/>
          <a:ext cx="256160" cy="282145"/>
          <a:chOff x="3720701" y="3699019"/>
          <a:chExt cx="368229" cy="303463"/>
        </a:xfrm>
      </xdr:grpSpPr>
      <xdr:sp macro="" textlink="">
        <xdr:nvSpPr>
          <xdr:cNvPr id="81" name="Achteck 80">
            <a:extLst>
              <a:ext uri="{FF2B5EF4-FFF2-40B4-BE49-F238E27FC236}">
                <a16:creationId xmlns:a16="http://schemas.microsoft.com/office/drawing/2014/main" id="{00000000-0008-0000-0100-000051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82" name="Textfeld 81">
            <a:extLst>
              <a:ext uri="{FF2B5EF4-FFF2-40B4-BE49-F238E27FC236}">
                <a16:creationId xmlns:a16="http://schemas.microsoft.com/office/drawing/2014/main" id="{00000000-0008-0000-0100-000052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307731</xdr:colOff>
      <xdr:row>43</xdr:row>
      <xdr:rowOff>95249</xdr:rowOff>
    </xdr:from>
    <xdr:to>
      <xdr:col>7</xdr:col>
      <xdr:colOff>485930</xdr:colOff>
      <xdr:row>45</xdr:row>
      <xdr:rowOff>3510</xdr:rowOff>
    </xdr:to>
    <xdr:sp macro="" textlink="">
      <xdr:nvSpPr>
        <xdr:cNvPr id="83" name="Textfeld 82">
          <a:extLst>
            <a:ext uri="{FF2B5EF4-FFF2-40B4-BE49-F238E27FC236}">
              <a16:creationId xmlns:a16="http://schemas.microsoft.com/office/drawing/2014/main" id="{00000000-0008-0000-0100-000053000000}"/>
            </a:ext>
          </a:extLst>
        </xdr:cNvPr>
        <xdr:cNvSpPr txBox="1"/>
      </xdr:nvSpPr>
      <xdr:spPr>
        <a:xfrm>
          <a:off x="5641731" y="7165730"/>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555574</xdr:colOff>
      <xdr:row>43</xdr:row>
      <xdr:rowOff>108963</xdr:rowOff>
    </xdr:from>
    <xdr:to>
      <xdr:col>8</xdr:col>
      <xdr:colOff>28036</xdr:colOff>
      <xdr:row>45</xdr:row>
      <xdr:rowOff>29309</xdr:rowOff>
    </xdr:to>
    <xdr:sp macro="" textlink="">
      <xdr:nvSpPr>
        <xdr:cNvPr id="84" name="Achteck 83">
          <a:extLst>
            <a:ext uri="{FF2B5EF4-FFF2-40B4-BE49-F238E27FC236}">
              <a16:creationId xmlns:a16="http://schemas.microsoft.com/office/drawing/2014/main" id="{00000000-0008-0000-0100-000054000000}"/>
            </a:ext>
          </a:extLst>
        </xdr:cNvPr>
        <xdr:cNvSpPr/>
      </xdr:nvSpPr>
      <xdr:spPr>
        <a:xfrm>
          <a:off x="5889574" y="7179444"/>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6</xdr:col>
      <xdr:colOff>659424</xdr:colOff>
      <xdr:row>41</xdr:row>
      <xdr:rowOff>110303</xdr:rowOff>
    </xdr:from>
    <xdr:to>
      <xdr:col>7</xdr:col>
      <xdr:colOff>175849</xdr:colOff>
      <xdr:row>42</xdr:row>
      <xdr:rowOff>109904</xdr:rowOff>
    </xdr:to>
    <xdr:cxnSp macro="">
      <xdr:nvCxnSpPr>
        <xdr:cNvPr id="85" name="Gerade Verbindung mit Pfeil 84">
          <a:extLst>
            <a:ext uri="{FF2B5EF4-FFF2-40B4-BE49-F238E27FC236}">
              <a16:creationId xmlns:a16="http://schemas.microsoft.com/office/drawing/2014/main" id="{00000000-0008-0000-0100-000055000000}"/>
            </a:ext>
          </a:extLst>
        </xdr:cNvPr>
        <xdr:cNvCxnSpPr>
          <a:stCxn id="73" idx="1"/>
        </xdr:cNvCxnSpPr>
      </xdr:nvCxnSpPr>
      <xdr:spPr>
        <a:xfrm flipH="1">
          <a:off x="5231424" y="6858399"/>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511613</xdr:colOff>
      <xdr:row>41</xdr:row>
      <xdr:rowOff>130944</xdr:rowOff>
    </xdr:from>
    <xdr:to>
      <xdr:col>5</xdr:col>
      <xdr:colOff>746075</xdr:colOff>
      <xdr:row>43</xdr:row>
      <xdr:rowOff>51289</xdr:rowOff>
    </xdr:to>
    <xdr:sp macro="" textlink="">
      <xdr:nvSpPr>
        <xdr:cNvPr id="86" name="Achteck 85">
          <a:extLst>
            <a:ext uri="{FF2B5EF4-FFF2-40B4-BE49-F238E27FC236}">
              <a16:creationId xmlns:a16="http://schemas.microsoft.com/office/drawing/2014/main" id="{00000000-0008-0000-0100-000056000000}"/>
            </a:ext>
          </a:extLst>
        </xdr:cNvPr>
        <xdr:cNvSpPr/>
      </xdr:nvSpPr>
      <xdr:spPr>
        <a:xfrm>
          <a:off x="4321613" y="6879040"/>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505559</xdr:colOff>
      <xdr:row>41</xdr:row>
      <xdr:rowOff>117230</xdr:rowOff>
    </xdr:from>
    <xdr:to>
      <xdr:col>5</xdr:col>
      <xdr:colOff>683758</xdr:colOff>
      <xdr:row>43</xdr:row>
      <xdr:rowOff>25490</xdr:rowOff>
    </xdr:to>
    <xdr:sp macro="" textlink="">
      <xdr:nvSpPr>
        <xdr:cNvPr id="87" name="Textfeld 86">
          <a:extLst>
            <a:ext uri="{FF2B5EF4-FFF2-40B4-BE49-F238E27FC236}">
              <a16:creationId xmlns:a16="http://schemas.microsoft.com/office/drawing/2014/main" id="{00000000-0008-0000-0100-000057000000}"/>
            </a:ext>
          </a:extLst>
        </xdr:cNvPr>
        <xdr:cNvSpPr txBox="1"/>
      </xdr:nvSpPr>
      <xdr:spPr>
        <a:xfrm>
          <a:off x="4315559" y="6865326"/>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xdr:from>
      <xdr:col>8</xdr:col>
      <xdr:colOff>278423</xdr:colOff>
      <xdr:row>22</xdr:row>
      <xdr:rowOff>102576</xdr:rowOff>
    </xdr:from>
    <xdr:to>
      <xdr:col>8</xdr:col>
      <xdr:colOff>512885</xdr:colOff>
      <xdr:row>24</xdr:row>
      <xdr:rowOff>22921</xdr:rowOff>
    </xdr:to>
    <xdr:sp macro="" textlink="">
      <xdr:nvSpPr>
        <xdr:cNvPr id="88" name="Achteck 87">
          <a:extLst>
            <a:ext uri="{FF2B5EF4-FFF2-40B4-BE49-F238E27FC236}">
              <a16:creationId xmlns:a16="http://schemas.microsoft.com/office/drawing/2014/main" id="{00000000-0008-0000-0100-000058000000}"/>
            </a:ext>
          </a:extLst>
        </xdr:cNvPr>
        <xdr:cNvSpPr/>
      </xdr:nvSpPr>
      <xdr:spPr>
        <a:xfrm>
          <a:off x="6374423" y="3788018"/>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278423</xdr:colOff>
      <xdr:row>22</xdr:row>
      <xdr:rowOff>87923</xdr:rowOff>
    </xdr:from>
    <xdr:to>
      <xdr:col>8</xdr:col>
      <xdr:colOff>456622</xdr:colOff>
      <xdr:row>23</xdr:row>
      <xdr:rowOff>157375</xdr:rowOff>
    </xdr:to>
    <xdr:sp macro="" textlink="">
      <xdr:nvSpPr>
        <xdr:cNvPr id="89" name="Textfeld 88">
          <a:extLst>
            <a:ext uri="{FF2B5EF4-FFF2-40B4-BE49-F238E27FC236}">
              <a16:creationId xmlns:a16="http://schemas.microsoft.com/office/drawing/2014/main" id="{00000000-0008-0000-0100-000059000000}"/>
            </a:ext>
          </a:extLst>
        </xdr:cNvPr>
        <xdr:cNvSpPr txBox="1"/>
      </xdr:nvSpPr>
      <xdr:spPr>
        <a:xfrm>
          <a:off x="6374423" y="3773365"/>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8</xdr:col>
      <xdr:colOff>298938</xdr:colOff>
      <xdr:row>31</xdr:row>
      <xdr:rowOff>152399</xdr:rowOff>
    </xdr:from>
    <xdr:to>
      <xdr:col>8</xdr:col>
      <xdr:colOff>533400</xdr:colOff>
      <xdr:row>33</xdr:row>
      <xdr:rowOff>72744</xdr:rowOff>
    </xdr:to>
    <xdr:sp macro="" textlink="">
      <xdr:nvSpPr>
        <xdr:cNvPr id="90" name="Achteck 89">
          <a:extLst>
            <a:ext uri="{FF2B5EF4-FFF2-40B4-BE49-F238E27FC236}">
              <a16:creationId xmlns:a16="http://schemas.microsoft.com/office/drawing/2014/main" id="{00000000-0008-0000-0100-00005A000000}"/>
            </a:ext>
          </a:extLst>
        </xdr:cNvPr>
        <xdr:cNvSpPr/>
      </xdr:nvSpPr>
      <xdr:spPr>
        <a:xfrm>
          <a:off x="6394938" y="528857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298938</xdr:colOff>
      <xdr:row>31</xdr:row>
      <xdr:rowOff>137746</xdr:rowOff>
    </xdr:from>
    <xdr:to>
      <xdr:col>8</xdr:col>
      <xdr:colOff>477137</xdr:colOff>
      <xdr:row>33</xdr:row>
      <xdr:rowOff>46006</xdr:rowOff>
    </xdr:to>
    <xdr:sp macro="" textlink="">
      <xdr:nvSpPr>
        <xdr:cNvPr id="91" name="Textfeld 90">
          <a:extLst>
            <a:ext uri="{FF2B5EF4-FFF2-40B4-BE49-F238E27FC236}">
              <a16:creationId xmlns:a16="http://schemas.microsoft.com/office/drawing/2014/main" id="{00000000-0008-0000-0100-00005B000000}"/>
            </a:ext>
          </a:extLst>
        </xdr:cNvPr>
        <xdr:cNvSpPr txBox="1"/>
      </xdr:nvSpPr>
      <xdr:spPr>
        <a:xfrm>
          <a:off x="6394938" y="527391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8</xdr:col>
      <xdr:colOff>290146</xdr:colOff>
      <xdr:row>41</xdr:row>
      <xdr:rowOff>99645</xdr:rowOff>
    </xdr:from>
    <xdr:to>
      <xdr:col>8</xdr:col>
      <xdr:colOff>524608</xdr:colOff>
      <xdr:row>43</xdr:row>
      <xdr:rowOff>19990</xdr:rowOff>
    </xdr:to>
    <xdr:sp macro="" textlink="">
      <xdr:nvSpPr>
        <xdr:cNvPr id="92" name="Achteck 91">
          <a:extLst>
            <a:ext uri="{FF2B5EF4-FFF2-40B4-BE49-F238E27FC236}">
              <a16:creationId xmlns:a16="http://schemas.microsoft.com/office/drawing/2014/main" id="{00000000-0008-0000-0100-00005C000000}"/>
            </a:ext>
          </a:extLst>
        </xdr:cNvPr>
        <xdr:cNvSpPr/>
      </xdr:nvSpPr>
      <xdr:spPr>
        <a:xfrm>
          <a:off x="6386146" y="6847741"/>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290146</xdr:colOff>
      <xdr:row>41</xdr:row>
      <xdr:rowOff>84992</xdr:rowOff>
    </xdr:from>
    <xdr:to>
      <xdr:col>8</xdr:col>
      <xdr:colOff>468345</xdr:colOff>
      <xdr:row>42</xdr:row>
      <xdr:rowOff>154445</xdr:rowOff>
    </xdr:to>
    <xdr:sp macro="" textlink="">
      <xdr:nvSpPr>
        <xdr:cNvPr id="93" name="Textfeld 92">
          <a:extLst>
            <a:ext uri="{FF2B5EF4-FFF2-40B4-BE49-F238E27FC236}">
              <a16:creationId xmlns:a16="http://schemas.microsoft.com/office/drawing/2014/main" id="{00000000-0008-0000-0100-00005D000000}"/>
            </a:ext>
          </a:extLst>
        </xdr:cNvPr>
        <xdr:cNvSpPr txBox="1"/>
      </xdr:nvSpPr>
      <xdr:spPr>
        <a:xfrm>
          <a:off x="6386146" y="683308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7</xdr:col>
      <xdr:colOff>322384</xdr:colOff>
      <xdr:row>33</xdr:row>
      <xdr:rowOff>146539</xdr:rowOff>
    </xdr:from>
    <xdr:to>
      <xdr:col>7</xdr:col>
      <xdr:colOff>556846</xdr:colOff>
      <xdr:row>35</xdr:row>
      <xdr:rowOff>66885</xdr:rowOff>
    </xdr:to>
    <xdr:sp macro="" textlink="">
      <xdr:nvSpPr>
        <xdr:cNvPr id="94" name="Achteck 93">
          <a:extLst>
            <a:ext uri="{FF2B5EF4-FFF2-40B4-BE49-F238E27FC236}">
              <a16:creationId xmlns:a16="http://schemas.microsoft.com/office/drawing/2014/main" id="{00000000-0008-0000-0100-00005E000000}"/>
            </a:ext>
          </a:extLst>
        </xdr:cNvPr>
        <xdr:cNvSpPr/>
      </xdr:nvSpPr>
      <xdr:spPr>
        <a:xfrm>
          <a:off x="5656384" y="5605097"/>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306265</xdr:colOff>
      <xdr:row>43</xdr:row>
      <xdr:rowOff>115766</xdr:rowOff>
    </xdr:from>
    <xdr:to>
      <xdr:col>7</xdr:col>
      <xdr:colOff>540727</xdr:colOff>
      <xdr:row>45</xdr:row>
      <xdr:rowOff>36112</xdr:rowOff>
    </xdr:to>
    <xdr:sp macro="" textlink="">
      <xdr:nvSpPr>
        <xdr:cNvPr id="95" name="Achteck 94">
          <a:extLst>
            <a:ext uri="{FF2B5EF4-FFF2-40B4-BE49-F238E27FC236}">
              <a16:creationId xmlns:a16="http://schemas.microsoft.com/office/drawing/2014/main" id="{00000000-0008-0000-0100-00005F000000}"/>
            </a:ext>
          </a:extLst>
        </xdr:cNvPr>
        <xdr:cNvSpPr/>
      </xdr:nvSpPr>
      <xdr:spPr>
        <a:xfrm>
          <a:off x="5640265" y="7186247"/>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577362</xdr:colOff>
      <xdr:row>33</xdr:row>
      <xdr:rowOff>115765</xdr:rowOff>
    </xdr:from>
    <xdr:to>
      <xdr:col>7</xdr:col>
      <xdr:colOff>755561</xdr:colOff>
      <xdr:row>35</xdr:row>
      <xdr:rowOff>24026</xdr:rowOff>
    </xdr:to>
    <xdr:sp macro="" textlink="">
      <xdr:nvSpPr>
        <xdr:cNvPr id="96" name="Textfeld 95">
          <a:extLst>
            <a:ext uri="{FF2B5EF4-FFF2-40B4-BE49-F238E27FC236}">
              <a16:creationId xmlns:a16="http://schemas.microsoft.com/office/drawing/2014/main" id="{00000000-0008-0000-0100-000060000000}"/>
            </a:ext>
          </a:extLst>
        </xdr:cNvPr>
        <xdr:cNvSpPr txBox="1"/>
      </xdr:nvSpPr>
      <xdr:spPr>
        <a:xfrm>
          <a:off x="5911362" y="5574323"/>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xdr:from>
      <xdr:col>7</xdr:col>
      <xdr:colOff>561243</xdr:colOff>
      <xdr:row>43</xdr:row>
      <xdr:rowOff>84992</xdr:rowOff>
    </xdr:from>
    <xdr:to>
      <xdr:col>7</xdr:col>
      <xdr:colOff>739442</xdr:colOff>
      <xdr:row>44</xdr:row>
      <xdr:rowOff>154445</xdr:rowOff>
    </xdr:to>
    <xdr:sp macro="" textlink="">
      <xdr:nvSpPr>
        <xdr:cNvPr id="97" name="Textfeld 96">
          <a:extLst>
            <a:ext uri="{FF2B5EF4-FFF2-40B4-BE49-F238E27FC236}">
              <a16:creationId xmlns:a16="http://schemas.microsoft.com/office/drawing/2014/main" id="{00000000-0008-0000-0100-000061000000}"/>
            </a:ext>
          </a:extLst>
        </xdr:cNvPr>
        <xdr:cNvSpPr txBox="1"/>
      </xdr:nvSpPr>
      <xdr:spPr>
        <a:xfrm>
          <a:off x="5895243" y="7155473"/>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editAs="oneCell">
    <xdr:from>
      <xdr:col>6</xdr:col>
      <xdr:colOff>29308</xdr:colOff>
      <xdr:row>0</xdr:row>
      <xdr:rowOff>70339</xdr:rowOff>
    </xdr:from>
    <xdr:to>
      <xdr:col>7</xdr:col>
      <xdr:colOff>703384</xdr:colOff>
      <xdr:row>3</xdr:row>
      <xdr:rowOff>113744</xdr:rowOff>
    </xdr:to>
    <xdr:pic>
      <xdr:nvPicPr>
        <xdr:cNvPr id="98" name="Grafik 97">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7154" y="70339"/>
          <a:ext cx="1465384" cy="653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6</xdr:col>
          <xdr:colOff>0</xdr:colOff>
          <xdr:row>27</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0</xdr:colOff>
          <xdr:row>28</xdr:row>
          <xdr:rowOff>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6</xdr:col>
          <xdr:colOff>0</xdr:colOff>
          <xdr:row>29</xdr:row>
          <xdr:rowOff>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6</xdr:col>
          <xdr:colOff>0</xdr:colOff>
          <xdr:row>31</xdr:row>
          <xdr:rowOff>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6</xdr:col>
          <xdr:colOff>0</xdr:colOff>
          <xdr:row>19</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6</xdr:col>
          <xdr:colOff>0</xdr:colOff>
          <xdr:row>12</xdr:row>
          <xdr:rowOff>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6</xdr:col>
          <xdr:colOff>0</xdr:colOff>
          <xdr:row>32</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6</xdr:col>
          <xdr:colOff>0</xdr:colOff>
          <xdr:row>30</xdr:row>
          <xdr:rowOff>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20</xdr:row>
          <xdr:rowOff>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6</xdr:col>
          <xdr:colOff>0</xdr:colOff>
          <xdr:row>21</xdr:row>
          <xdr:rowOff>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6</xdr:col>
          <xdr:colOff>0</xdr:colOff>
          <xdr:row>13</xdr:row>
          <xdr:rowOff>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1668780</xdr:colOff>
          <xdr:row>83</xdr:row>
          <xdr:rowOff>0</xdr:rowOff>
        </xdr:from>
        <xdr:to>
          <xdr:col>5</xdr:col>
          <xdr:colOff>822960</xdr:colOff>
          <xdr:row>84</xdr:row>
          <xdr:rowOff>0</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723900</xdr:colOff>
      <xdr:row>0</xdr:row>
      <xdr:rowOff>19050</xdr:rowOff>
    </xdr:from>
    <xdr:to>
      <xdr:col>10</xdr:col>
      <xdr:colOff>0</xdr:colOff>
      <xdr:row>3</xdr:row>
      <xdr:rowOff>9525</xdr:rowOff>
    </xdr:to>
    <xdr:pic>
      <xdr:nvPicPr>
        <xdr:cNvPr id="5249" name="Picture 3" descr="1 PAT Logo">
          <a:extLst>
            <a:ext uri="{FF2B5EF4-FFF2-40B4-BE49-F238E27FC236}">
              <a16:creationId xmlns:a16="http://schemas.microsoft.com/office/drawing/2014/main" id="{00000000-0008-0000-0400-00008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3019425" y="1905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552450</xdr:colOff>
      <xdr:row>0</xdr:row>
      <xdr:rowOff>0</xdr:rowOff>
    </xdr:from>
    <xdr:to>
      <xdr:col>14</xdr:col>
      <xdr:colOff>0</xdr:colOff>
      <xdr:row>0</xdr:row>
      <xdr:rowOff>476250</xdr:rowOff>
    </xdr:to>
    <xdr:pic>
      <xdr:nvPicPr>
        <xdr:cNvPr id="7292" name="Picture 2" descr="1 PAT Logo">
          <a:extLst>
            <a:ext uri="{FF2B5EF4-FFF2-40B4-BE49-F238E27FC236}">
              <a16:creationId xmlns:a16="http://schemas.microsoft.com/office/drawing/2014/main" id="{00000000-0008-0000-0500-00007C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5915025" y="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638175</xdr:colOff>
      <xdr:row>0</xdr:row>
      <xdr:rowOff>0</xdr:rowOff>
    </xdr:from>
    <xdr:to>
      <xdr:col>20</xdr:col>
      <xdr:colOff>9525</xdr:colOff>
      <xdr:row>0</xdr:row>
      <xdr:rowOff>476250</xdr:rowOff>
    </xdr:to>
    <xdr:pic>
      <xdr:nvPicPr>
        <xdr:cNvPr id="10363" name="Picture 1" descr="1 PAT Logo">
          <a:extLst>
            <a:ext uri="{FF2B5EF4-FFF2-40B4-BE49-F238E27FC236}">
              <a16:creationId xmlns:a16="http://schemas.microsoft.com/office/drawing/2014/main" id="{00000000-0008-0000-0600-00007B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2971800" y="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2</v>
    <v>1</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customProperty" Target="../customProperty2.bin"/><Relationship Id="rId16" Type="http://schemas.openxmlformats.org/officeDocument/2006/relationships/ctrlProp" Target="../ctrlProps/ctrlProp1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6.bin"/><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V1135"/>
  <sheetViews>
    <sheetView showGridLines="0" tabSelected="1" zoomScale="130" zoomScaleNormal="130" workbookViewId="0">
      <selection activeCell="B13" sqref="B13:C13"/>
    </sheetView>
  </sheetViews>
  <sheetFormatPr baseColWidth="10" defaultRowHeight="13.2" x14ac:dyDescent="0.25"/>
  <cols>
    <col min="1" max="1" width="5" customWidth="1"/>
    <col min="2" max="2" width="14.6640625" customWidth="1"/>
    <col min="3" max="3" width="16.33203125" customWidth="1"/>
    <col min="4" max="7" width="14.5546875" customWidth="1"/>
    <col min="8" max="8" width="11.44140625" style="537" hidden="1" customWidth="1"/>
    <col min="9" max="9" width="11.44140625" style="470" hidden="1" customWidth="1"/>
    <col min="10" max="11" width="11.44140625" hidden="1" customWidth="1"/>
    <col min="12" max="13" width="3.5546875" hidden="1" customWidth="1"/>
    <col min="14" max="16" width="4.88671875" hidden="1" customWidth="1"/>
    <col min="17" max="17" width="7" hidden="1" customWidth="1"/>
    <col min="18" max="18" width="12.33203125" style="592" hidden="1" customWidth="1"/>
    <col min="19" max="19" width="10.33203125" style="592" hidden="1" customWidth="1"/>
    <col min="20" max="21" width="4.88671875" hidden="1" customWidth="1"/>
    <col min="22" max="22" width="11.44140625" style="537" hidden="1" customWidth="1"/>
  </cols>
  <sheetData>
    <row r="1" spans="1:21" ht="96.75" customHeight="1" thickBot="1" x14ac:dyDescent="0.3">
      <c r="A1" s="647">
        <v>3</v>
      </c>
      <c r="I1" s="596" t="s">
        <v>506</v>
      </c>
      <c r="J1" s="600">
        <v>2026</v>
      </c>
      <c r="P1" s="573" t="s">
        <v>3</v>
      </c>
      <c r="Q1" s="573" t="s">
        <v>264</v>
      </c>
      <c r="R1" s="590" t="s">
        <v>468</v>
      </c>
      <c r="S1" s="590" t="s">
        <v>420</v>
      </c>
      <c r="T1" s="573" t="s">
        <v>422</v>
      </c>
      <c r="U1" s="573" t="s">
        <v>17</v>
      </c>
    </row>
    <row r="2" spans="1:21" ht="21" x14ac:dyDescent="0.4">
      <c r="B2" s="577" t="str">
        <f>IF(A1=1,CONCATENATE(Übersetzungen!A6,J1),IF(A1=2,CONCATENATE(Übersetzungen!B6,J1),IF(A1=3,CONCATENATE(Übersetzungen!C6,J1),"")))</f>
        <v>Contributi 2026</v>
      </c>
      <c r="I2" s="141"/>
      <c r="J2" s="22"/>
      <c r="K2" s="22"/>
      <c r="P2" t="s">
        <v>284</v>
      </c>
      <c r="Q2" s="574"/>
      <c r="R2" s="591">
        <v>11001001</v>
      </c>
      <c r="S2" s="43">
        <v>111</v>
      </c>
      <c r="T2">
        <v>10</v>
      </c>
      <c r="U2">
        <v>50</v>
      </c>
    </row>
    <row r="3" spans="1:21" ht="25.5" customHeight="1" x14ac:dyDescent="0.25">
      <c r="I3" s="534"/>
      <c r="P3" t="s">
        <v>280</v>
      </c>
      <c r="R3" s="592">
        <v>11001005</v>
      </c>
      <c r="S3" s="43">
        <v>112</v>
      </c>
      <c r="T3">
        <v>15</v>
      </c>
      <c r="U3">
        <v>100</v>
      </c>
    </row>
    <row r="4" spans="1:21" ht="11.25" customHeight="1" x14ac:dyDescent="0.25">
      <c r="B4" s="666" t="str">
        <f>IF($A$1=1,Übersetzungen!A7,IF($A$1=2,Übersetzungen!B7,IF($A$1=3,Übersetzungen!C7,"")))</f>
        <v>Esempio secondo il dettaglio dei contributi</v>
      </c>
      <c r="C4" s="667"/>
      <c r="I4" s="599"/>
      <c r="R4" s="592">
        <v>11001101</v>
      </c>
      <c r="S4" s="43">
        <v>113</v>
      </c>
      <c r="T4">
        <v>20</v>
      </c>
      <c r="U4">
        <v>150</v>
      </c>
    </row>
    <row r="5" spans="1:21" ht="11.25" customHeight="1" x14ac:dyDescent="0.25">
      <c r="B5" s="668" t="str">
        <f>IF($A$1=1,Übersetzungen!A8,IF($A$1=2,Übersetzungen!B8,IF($A$1=3,Übersetzungen!C8,"")))</f>
        <v>Rossi,Giovanna</v>
      </c>
      <c r="C5" s="667"/>
      <c r="I5" s="599"/>
      <c r="R5" s="592">
        <v>11001105</v>
      </c>
      <c r="S5" s="43">
        <v>114</v>
      </c>
      <c r="T5">
        <v>25</v>
      </c>
      <c r="U5">
        <v>200</v>
      </c>
    </row>
    <row r="6" spans="1:21" ht="11.25" customHeight="1" x14ac:dyDescent="0.25">
      <c r="B6" s="668" t="str">
        <f>IF($A$1=1,Übersetzungen!A9,IF($A$1=2,Übersetzungen!B9,IF($A$1=3,Übersetzungen!C9,"")))</f>
        <v>[Numero AVS]</v>
      </c>
      <c r="C6" s="667"/>
      <c r="I6" s="599"/>
      <c r="R6" s="592">
        <v>11001201</v>
      </c>
      <c r="S6" s="43">
        <v>115</v>
      </c>
      <c r="T6">
        <v>30</v>
      </c>
    </row>
    <row r="7" spans="1:21" ht="11.25" customHeight="1" x14ac:dyDescent="0.25">
      <c r="B7" s="668" t="s">
        <v>513</v>
      </c>
      <c r="C7" s="667"/>
      <c r="I7" s="599"/>
      <c r="R7" s="592">
        <v>11001205</v>
      </c>
      <c r="S7" s="43">
        <v>116</v>
      </c>
      <c r="T7">
        <v>35</v>
      </c>
    </row>
    <row r="8" spans="1:21" ht="11.25" customHeight="1" x14ac:dyDescent="0.25">
      <c r="B8" s="668" t="s">
        <v>514</v>
      </c>
      <c r="C8" s="667"/>
      <c r="I8" s="534"/>
      <c r="R8" s="592">
        <v>11001501</v>
      </c>
      <c r="S8" s="43">
        <v>117</v>
      </c>
      <c r="T8">
        <v>40</v>
      </c>
    </row>
    <row r="9" spans="1:21" ht="11.25" customHeight="1" x14ac:dyDescent="0.25">
      <c r="B9" s="667" t="str">
        <f>IF($A$1=1,Übersetzungen!A10,IF($A$1=2,Übersetzungen!B10,IF($A$1=3,Übersetzungen!C10,"")))</f>
        <v>[Indirizzo]</v>
      </c>
      <c r="C9" s="667"/>
      <c r="R9" s="592">
        <v>11001505</v>
      </c>
      <c r="S9" s="43">
        <v>121</v>
      </c>
      <c r="T9">
        <v>45</v>
      </c>
    </row>
    <row r="10" spans="1:21" ht="11.25" customHeight="1" x14ac:dyDescent="0.25">
      <c r="I10" s="480" t="s">
        <v>233</v>
      </c>
      <c r="L10" s="117" t="s">
        <v>422</v>
      </c>
      <c r="N10" s="117" t="s">
        <v>17</v>
      </c>
      <c r="P10" s="117" t="s">
        <v>29</v>
      </c>
      <c r="R10" s="592">
        <v>11001601</v>
      </c>
      <c r="S10" s="43">
        <v>122</v>
      </c>
      <c r="T10">
        <v>50</v>
      </c>
    </row>
    <row r="11" spans="1:21" ht="11.25" customHeight="1" x14ac:dyDescent="0.25">
      <c r="I11" s="470" t="str">
        <f>Code!J7</f>
        <v>ACHTUNG: NUR 1 ODER 2!</v>
      </c>
      <c r="L11">
        <v>10</v>
      </c>
      <c r="M11">
        <v>2</v>
      </c>
      <c r="N11">
        <v>50</v>
      </c>
      <c r="O11">
        <v>2</v>
      </c>
      <c r="P11">
        <v>18</v>
      </c>
      <c r="R11" s="592">
        <v>11001605</v>
      </c>
      <c r="S11" s="43">
        <v>123</v>
      </c>
      <c r="T11">
        <v>55</v>
      </c>
    </row>
    <row r="12" spans="1:21" ht="15" customHeight="1" x14ac:dyDescent="0.25">
      <c r="B12" s="117" t="str">
        <f>IF($A$1=1,Übersetzungen!A11,IF($A$1=2,Übersetzungen!B11,IF($A$1=3,Übersetzungen!C11,"")))</f>
        <v>Cognome</v>
      </c>
      <c r="C12" s="117"/>
      <c r="D12" s="117" t="str">
        <f>IF($A$1=1,Übersetzungen!A12,IF($A$1=2,Übersetzungen!B12,IF($A$1=3,Übersetzungen!C12,"")))</f>
        <v>Nome</v>
      </c>
      <c r="I12" s="470" t="e">
        <f>Code!J8</f>
        <v>#VALUE!</v>
      </c>
      <c r="L12">
        <v>15</v>
      </c>
      <c r="M12">
        <v>3</v>
      </c>
      <c r="N12">
        <v>100</v>
      </c>
      <c r="O12">
        <v>3</v>
      </c>
      <c r="P12">
        <v>20</v>
      </c>
      <c r="R12" s="592">
        <v>11002001</v>
      </c>
      <c r="S12" s="43">
        <v>124</v>
      </c>
      <c r="T12">
        <v>60</v>
      </c>
    </row>
    <row r="13" spans="1:21" ht="15" customHeight="1" thickBot="1" x14ac:dyDescent="0.3">
      <c r="B13" s="701"/>
      <c r="C13" s="702"/>
      <c r="D13" s="703"/>
      <c r="E13" s="704"/>
      <c r="I13" s="470" t="e">
        <f>Code!J9</f>
        <v>#VALUE!</v>
      </c>
      <c r="L13">
        <v>20</v>
      </c>
      <c r="M13">
        <v>4</v>
      </c>
      <c r="N13">
        <v>150</v>
      </c>
      <c r="O13">
        <v>4</v>
      </c>
      <c r="P13">
        <v>25</v>
      </c>
      <c r="R13" s="592">
        <v>11002005</v>
      </c>
      <c r="S13" s="43">
        <v>125</v>
      </c>
      <c r="T13">
        <v>65</v>
      </c>
    </row>
    <row r="14" spans="1:21" ht="11.25" customHeight="1" thickTop="1" x14ac:dyDescent="0.25">
      <c r="A14" s="314"/>
      <c r="B14" s="705" t="s">
        <v>497</v>
      </c>
      <c r="C14" s="705"/>
      <c r="D14" s="706" t="s">
        <v>511</v>
      </c>
      <c r="E14" s="705"/>
      <c r="I14" s="470" t="e">
        <f>Code!J10</f>
        <v>#VALUE!</v>
      </c>
      <c r="L14">
        <v>25</v>
      </c>
      <c r="M14">
        <v>5</v>
      </c>
      <c r="N14">
        <v>200</v>
      </c>
      <c r="O14">
        <v>5</v>
      </c>
      <c r="R14" s="592">
        <v>11002101</v>
      </c>
      <c r="S14" s="43">
        <v>126</v>
      </c>
      <c r="T14">
        <v>70</v>
      </c>
    </row>
    <row r="15" spans="1:21" ht="15" customHeight="1" x14ac:dyDescent="0.25">
      <c r="I15" s="470" t="e">
        <f>Code!J11</f>
        <v>#VALUE!</v>
      </c>
      <c r="L15">
        <v>30</v>
      </c>
      <c r="M15">
        <v>6</v>
      </c>
      <c r="R15" s="592">
        <v>11002105</v>
      </c>
      <c r="S15" s="43">
        <v>127</v>
      </c>
    </row>
    <row r="16" spans="1:21" ht="15" customHeight="1" x14ac:dyDescent="0.25">
      <c r="B16" s="480" t="str">
        <f>IF($A$1=1,Übersetzungen!A15,IF($A$1=2,Übersetzungen!B15,IF($A$1=3,Übersetzungen!C15,"")))</f>
        <v>Sesso</v>
      </c>
      <c r="C16" s="480" t="str">
        <f>IF($A$1=1,Übersetzungen!A16,IF($A$1=2,Übersetzungen!B16,IF($A$1=3,Übersetzungen!C16,"")))</f>
        <v>Data di nascita</v>
      </c>
      <c r="D16" s="479"/>
      <c r="E16" s="479"/>
      <c r="F16" s="479"/>
      <c r="G16" s="479"/>
      <c r="I16" s="470" t="e">
        <f>Code!J12</f>
        <v>#VALUE!</v>
      </c>
      <c r="L16">
        <v>35</v>
      </c>
      <c r="M16">
        <v>7</v>
      </c>
      <c r="R16" s="592">
        <v>11002201</v>
      </c>
      <c r="S16" s="43">
        <v>211</v>
      </c>
    </row>
    <row r="17" spans="2:19" ht="15" customHeight="1" thickBot="1" x14ac:dyDescent="0.3">
      <c r="B17" s="672"/>
      <c r="C17" s="673"/>
      <c r="D17" s="580" t="str">
        <f>IF(C17="","",IF(AND(C17&gt;J28,A1=1),Übersetzungen!A26,IF(AND(C17&gt;J28,A1=2),Übersetzungen!B26,IF(AND(C17&gt;J28,A1=3),Übersetzungen!C26,IF(AND(J27=1,A1=1),Übersetzungen!A27,IF(AND(J27=1,A1=2),Übersetzungen!B27,IF(AND(J27=1,A1=3),Übersetzungen!C27,"")))))))</f>
        <v/>
      </c>
      <c r="E17" s="479"/>
      <c r="F17" s="479"/>
      <c r="G17" s="479"/>
      <c r="I17" s="470" t="e">
        <f>Code!J14</f>
        <v>#VALUE!</v>
      </c>
      <c r="L17">
        <v>40</v>
      </c>
      <c r="M17">
        <v>8</v>
      </c>
      <c r="R17" s="592">
        <v>11002205</v>
      </c>
      <c r="S17" s="43">
        <v>212</v>
      </c>
    </row>
    <row r="18" spans="2:19" ht="11.25" customHeight="1" thickTop="1" x14ac:dyDescent="0.25">
      <c r="B18" s="669" t="s">
        <v>280</v>
      </c>
      <c r="C18" s="670">
        <v>31548</v>
      </c>
      <c r="D18" s="479"/>
      <c r="E18" s="479"/>
      <c r="F18" s="479"/>
      <c r="G18" s="479"/>
      <c r="I18" s="480" t="s">
        <v>420</v>
      </c>
      <c r="L18">
        <v>45</v>
      </c>
      <c r="M18">
        <v>9</v>
      </c>
      <c r="R18" s="592">
        <v>11002501</v>
      </c>
      <c r="S18" s="43">
        <v>213</v>
      </c>
    </row>
    <row r="19" spans="2:19" ht="15" customHeight="1" x14ac:dyDescent="0.25">
      <c r="B19" s="30"/>
      <c r="C19" s="586"/>
      <c r="D19" s="127"/>
      <c r="E19" s="30"/>
      <c r="F19" s="30"/>
      <c r="G19" s="30"/>
      <c r="I19" s="470" t="e">
        <f>Code!J28</f>
        <v>#N/A</v>
      </c>
      <c r="L19">
        <v>50</v>
      </c>
      <c r="M19">
        <v>10</v>
      </c>
      <c r="R19" s="592">
        <v>11002505</v>
      </c>
      <c r="S19" s="43">
        <v>214</v>
      </c>
    </row>
    <row r="20" spans="2:19" ht="15" customHeight="1" x14ac:dyDescent="0.25">
      <c r="B20" s="480" t="str">
        <f>IF($A$1=1,Übersetzungen!A17,IF($A$1=2,Übersetzungen!B17,IF($A$1=3,Übersetzungen!C17,"")))</f>
        <v>Cerchio</v>
      </c>
      <c r="C20" s="480" t="str">
        <f>IF($A$1=1,Übersetzungen!A18,IF($A$1=2,Übersetzungen!B18,IF($A$1=3,Übersetzungen!C18,"")))</f>
        <v>Numero piano</v>
      </c>
      <c r="D20" s="480" t="str">
        <f>IF($A$1=1,Übersetzungen!A19,IF($A$1=2,Übersetzungen!B19,IF($A$1=3,Übersetzungen!C19,"")))</f>
        <v>Indice salario</v>
      </c>
      <c r="E20" s="579" t="str">
        <f>IF(C21="","",IF(AND(Code!B8=2,A1=1),Übersetzungen!A20,IF(AND(Code!B8=2,A1=2),Übersetzungen!B20,IF(AND(Code!B8=2,A1=3),Übersetzungen!C20,""))))</f>
        <v/>
      </c>
      <c r="F20" s="579" t="str">
        <f>IF(C21="","",IF(AND(Code!C9=1,A1=1),Übersetzungen!A28,IF(AND(Code!C9=1,A1=2),Übersetzungen!B28,IF(AND(Code!C9=1,A1=3),Übersetzungen!C28,""))))</f>
        <v/>
      </c>
      <c r="G20" s="579" t="str">
        <f>IF($A$1=1,Übersetzungen!A21,IF($A$1=2,Übersetzungen!B21,IF($A$1=3,Übersetzungen!C21,"")))</f>
        <v>Età risparmio</v>
      </c>
      <c r="I20" s="470" t="e">
        <f>Code!J29</f>
        <v>#VALUE!</v>
      </c>
      <c r="L20">
        <v>55</v>
      </c>
      <c r="M20">
        <v>11</v>
      </c>
      <c r="R20" s="592">
        <v>11002601</v>
      </c>
      <c r="S20" s="43">
        <v>215</v>
      </c>
    </row>
    <row r="21" spans="2:19" ht="15" customHeight="1" thickBot="1" x14ac:dyDescent="0.3">
      <c r="B21" s="672"/>
      <c r="C21" s="674"/>
      <c r="D21" s="675"/>
      <c r="E21" s="572">
        <v>50</v>
      </c>
      <c r="F21" s="578">
        <v>200</v>
      </c>
      <c r="G21" s="675">
        <v>25</v>
      </c>
      <c r="I21" s="470" t="e">
        <f>Code!J30</f>
        <v>#VALUE!</v>
      </c>
      <c r="L21">
        <v>60</v>
      </c>
      <c r="M21">
        <v>12</v>
      </c>
      <c r="R21" s="592">
        <v>11002605</v>
      </c>
      <c r="S21" s="43">
        <v>216</v>
      </c>
    </row>
    <row r="22" spans="2:19" ht="11.25" customHeight="1" thickTop="1" x14ac:dyDescent="0.25">
      <c r="B22" s="669">
        <v>1060</v>
      </c>
      <c r="C22" s="671">
        <v>12011001</v>
      </c>
      <c r="D22" s="671">
        <v>553</v>
      </c>
      <c r="E22" s="576">
        <v>50</v>
      </c>
      <c r="F22" s="576">
        <v>100</v>
      </c>
      <c r="G22" s="575">
        <v>25</v>
      </c>
      <c r="L22">
        <v>65</v>
      </c>
      <c r="M22">
        <v>13</v>
      </c>
      <c r="R22" s="592">
        <v>11003001</v>
      </c>
      <c r="S22" s="43">
        <v>217</v>
      </c>
    </row>
    <row r="23" spans="2:19" ht="15" customHeight="1" x14ac:dyDescent="0.25">
      <c r="B23" s="564" t="str">
        <f>IF(AND(Code!A28=2,A1=1),Übersetzungen!A25,IF(AND(Code!A28=2,A1=2),Übersetzungen!B25,IF(AND(Code!A28=2,A1=3),Übersetzungen!C25,"")))</f>
        <v/>
      </c>
      <c r="C23" s="593">
        <v>60</v>
      </c>
      <c r="E23" s="565"/>
      <c r="F23" s="565"/>
      <c r="G23" s="565"/>
      <c r="I23" s="480"/>
      <c r="L23">
        <v>70</v>
      </c>
      <c r="M23">
        <v>14</v>
      </c>
      <c r="R23" s="592">
        <v>11003005</v>
      </c>
      <c r="S23" s="43">
        <v>221</v>
      </c>
    </row>
    <row r="24" spans="2:19" ht="11.25" customHeight="1" x14ac:dyDescent="0.25">
      <c r="B24" s="565"/>
      <c r="I24" s="571"/>
      <c r="R24" s="592">
        <v>11003101</v>
      </c>
      <c r="S24" s="43">
        <v>222</v>
      </c>
    </row>
    <row r="25" spans="2:19" ht="15" customHeight="1" x14ac:dyDescent="0.25">
      <c r="B25" s="480" t="str">
        <f>IF(A1=1,CONCATENATE(Übersetzungen!A22,J1,Übersetzungen!A23),IF(A1=2,CONCATENATE(Übersetzungen!B22,J1,Übersetzungen!B23),IF(A1=3,CONCATENATE(Übersetzungen!C22,J1,Übersetzungen!C23),"")))</f>
        <v>Salario annuale 2026 (fr.)</v>
      </c>
      <c r="I25" s="571" t="s">
        <v>506</v>
      </c>
      <c r="J25">
        <f>YEAR(C17)</f>
        <v>1900</v>
      </c>
      <c r="R25" s="592">
        <v>11003105</v>
      </c>
      <c r="S25" s="43">
        <v>223</v>
      </c>
    </row>
    <row r="26" spans="2:19" ht="15" customHeight="1" x14ac:dyDescent="0.25">
      <c r="B26" s="676"/>
      <c r="I26" s="470" t="str">
        <f>CONCATENATE("Alter ",J1)</f>
        <v>Alter 2026</v>
      </c>
      <c r="J26">
        <f>J1-J25</f>
        <v>126</v>
      </c>
      <c r="R26" s="592">
        <v>11003201</v>
      </c>
      <c r="S26" s="43">
        <v>224</v>
      </c>
    </row>
    <row r="27" spans="2:19" ht="15" customHeight="1" x14ac:dyDescent="0.25">
      <c r="B27" s="209"/>
      <c r="I27" s="470" t="s">
        <v>507</v>
      </c>
      <c r="J27">
        <f>IF(J26&gt;=70,1,0)</f>
        <v>1</v>
      </c>
      <c r="K27" t="s">
        <v>508</v>
      </c>
      <c r="R27" s="592">
        <v>11003205</v>
      </c>
      <c r="S27" s="43">
        <v>225</v>
      </c>
    </row>
    <row r="28" spans="2:19" ht="15" customHeight="1" x14ac:dyDescent="0.25">
      <c r="B28" s="480" t="str">
        <f>IF($A$1=1,Übersetzungen!A24,IF($A$1=2,Übersetzungen!B24,IF($A$1=3,Übersetzungen!C24,"")))</f>
        <v>Parte datore di lavoro (%)</v>
      </c>
      <c r="J28" s="480">
        <f>VLOOKUP(J1,I30:J40,2)</f>
        <v>46023</v>
      </c>
      <c r="K28" s="117">
        <f>VLOOKUP(J1,I30:K40,3)</f>
        <v>46023</v>
      </c>
      <c r="R28" s="592">
        <v>11003501</v>
      </c>
      <c r="S28" s="43">
        <v>226</v>
      </c>
    </row>
    <row r="29" spans="2:19" ht="15" customHeight="1" x14ac:dyDescent="0.25">
      <c r="B29" s="677">
        <v>50</v>
      </c>
      <c r="C29" s="582" t="str">
        <f>IF(B29=""," mindestens 50%",IF(B29&lt;50," mindestens 50%!",""))</f>
        <v/>
      </c>
      <c r="I29" s="480"/>
      <c r="J29" s="117" t="s">
        <v>515</v>
      </c>
      <c r="K29" s="117" t="s">
        <v>405</v>
      </c>
      <c r="R29" s="592">
        <v>11003505</v>
      </c>
      <c r="S29" s="43">
        <v>227</v>
      </c>
    </row>
    <row r="30" spans="2:19" ht="15" customHeight="1" x14ac:dyDescent="0.25">
      <c r="B30" s="172"/>
      <c r="C30" s="570"/>
      <c r="I30" s="470">
        <v>2019</v>
      </c>
      <c r="J30" s="598">
        <v>37256</v>
      </c>
      <c r="K30" s="597">
        <v>43466</v>
      </c>
      <c r="R30" s="592">
        <v>11003601</v>
      </c>
      <c r="S30" s="43">
        <v>231</v>
      </c>
    </row>
    <row r="31" spans="2:19" ht="15" customHeight="1" x14ac:dyDescent="0.25">
      <c r="B31" s="172"/>
      <c r="C31" s="22"/>
      <c r="D31" s="22"/>
      <c r="E31" s="22"/>
      <c r="F31" s="22"/>
      <c r="G31" s="22"/>
      <c r="I31" s="470">
        <v>2020</v>
      </c>
      <c r="J31" s="598">
        <v>37621</v>
      </c>
      <c r="K31" s="597">
        <v>43831</v>
      </c>
      <c r="R31" s="592">
        <v>11003605</v>
      </c>
      <c r="S31" s="43">
        <v>232</v>
      </c>
    </row>
    <row r="32" spans="2:19" ht="15" customHeight="1" x14ac:dyDescent="0.25">
      <c r="B32" s="141" t="str">
        <f>IF($A$1=1,Übersetzungen!A29,IF($A$1=2,Übersetzungen!B29,IF($A$1=3,Übersetzungen!C29,"")))</f>
        <v>Reddito assicurato (fr./anno)</v>
      </c>
      <c r="C32" s="22"/>
      <c r="D32" s="22"/>
      <c r="E32" s="22"/>
      <c r="F32" s="536" t="e">
        <f>Input!E23</f>
        <v>#VALUE!</v>
      </c>
      <c r="G32" s="536"/>
      <c r="I32" s="470">
        <v>2021</v>
      </c>
      <c r="J32" s="598">
        <v>37986</v>
      </c>
      <c r="K32" s="597">
        <v>44197</v>
      </c>
      <c r="R32" s="592">
        <v>11004001</v>
      </c>
      <c r="S32" s="43">
        <v>233</v>
      </c>
    </row>
    <row r="33" spans="2:19" ht="15" customHeight="1" x14ac:dyDescent="0.25">
      <c r="I33" s="470">
        <v>2022</v>
      </c>
      <c r="J33" s="598">
        <v>38352</v>
      </c>
      <c r="K33" s="597">
        <v>44562</v>
      </c>
      <c r="R33" s="592">
        <v>11004005</v>
      </c>
      <c r="S33" s="43">
        <v>234</v>
      </c>
    </row>
    <row r="34" spans="2:19" ht="15" customHeight="1" x14ac:dyDescent="0.25">
      <c r="B34" s="117" t="str">
        <f>IF($A$1=1,Übersetzungen!A30,IF($A$1=2,Übersetzungen!B30,IF($A$1=3,Übersetzungen!C30,"")))</f>
        <v>Contributi (fr./anno):</v>
      </c>
      <c r="D34" s="538" t="str">
        <f>IF($A$1=1,Übersetzungen!A31,IF($A$1=2,Übersetzungen!B31,IF($A$1=3,Übersetzungen!C31,"")))</f>
        <v>Datore di lavoro</v>
      </c>
      <c r="E34" s="538" t="str">
        <f>IF($A$1=1,Übersetzungen!A32,IF($A$1=2,Übersetzungen!B32,IF($A$1=3,Übersetzungen!C32,"")))</f>
        <v>Dipendente</v>
      </c>
      <c r="F34" s="538" t="str">
        <f>IF($A$1=1,Übersetzungen!A33,IF($A$1=2,Übersetzungen!B33,IF($A$1=3,Übersetzungen!C33,"")))</f>
        <v>Totale</v>
      </c>
      <c r="G34" s="538"/>
      <c r="I34" s="470">
        <v>2023</v>
      </c>
      <c r="J34" s="598">
        <v>38717</v>
      </c>
      <c r="K34" s="597">
        <v>44927</v>
      </c>
      <c r="R34" s="592">
        <v>11004101</v>
      </c>
      <c r="S34" s="43">
        <v>235</v>
      </c>
    </row>
    <row r="35" spans="2:19" ht="15" customHeight="1" x14ac:dyDescent="0.25">
      <c r="B35" t="str">
        <f>IF($A$1=1,Übersetzungen!A34,IF($A$1=2,Übersetzungen!B34,IF($A$1=3,Übersetzungen!C34,"")))</f>
        <v>Contr. risparmio</v>
      </c>
      <c r="C35" s="568" t="e">
        <f>VLOOKUP(Input!L2,Planbeschrieb!P49:X57,2)/100</f>
        <v>#VALUE!</v>
      </c>
      <c r="D35" s="583">
        <f>IF($B$21&lt;1000,0,Versicherungsausweis!G23)</f>
        <v>0</v>
      </c>
      <c r="E35" s="583">
        <f>IF($B$21&lt;1000,0,Versicherungsausweis!J23)</f>
        <v>0</v>
      </c>
      <c r="F35" s="583">
        <f>IF($B$21&lt;1000,0,Versicherungsausweis!D23)</f>
        <v>0</v>
      </c>
      <c r="G35" s="583"/>
      <c r="I35" s="470">
        <v>2024</v>
      </c>
      <c r="J35" s="598">
        <v>39082</v>
      </c>
      <c r="K35" s="597">
        <v>45292</v>
      </c>
      <c r="R35" s="592">
        <v>11004105</v>
      </c>
      <c r="S35" s="43">
        <v>236</v>
      </c>
    </row>
    <row r="36" spans="2:19" ht="15" customHeight="1" x14ac:dyDescent="0.25">
      <c r="B36" t="str">
        <f>IF($A$1=1,Übersetzungen!A35,IF($A$1=2,Übersetzungen!B35,IF($A$1=3,Übersetzungen!C35,"")))</f>
        <v>Contr. rischio</v>
      </c>
      <c r="C36" s="696" t="e">
        <f>IF(Code!A7=5,0,VLOOKUP(Input!L2,Planbeschrieb!P49:X57,6)/100)</f>
        <v>#VALUE!</v>
      </c>
      <c r="D36" s="583">
        <f>IF(Code!A7=5,0,IF($B$21&lt;1000,0,Versicherungsausweis!G24))</f>
        <v>0</v>
      </c>
      <c r="E36" s="583">
        <f>IF(Code!A7=5,0,IF($B$21&lt;1000,0,Versicherungsausweis!J24))</f>
        <v>0</v>
      </c>
      <c r="F36" s="583">
        <f>IF(Code!A7=5,0,IF($B$21&lt;1000,0,Versicherungsausweis!D24))</f>
        <v>0</v>
      </c>
      <c r="G36" s="583"/>
      <c r="I36" s="470">
        <v>2025</v>
      </c>
      <c r="J36" s="598">
        <f>K36</f>
        <v>45658</v>
      </c>
      <c r="K36" s="597">
        <v>45658</v>
      </c>
      <c r="R36" s="592">
        <v>11004201</v>
      </c>
      <c r="S36" s="43">
        <v>237</v>
      </c>
    </row>
    <row r="37" spans="2:19" ht="15" customHeight="1" x14ac:dyDescent="0.25">
      <c r="B37" s="491" t="str">
        <f>IF($A$1=1,Übersetzungen!A36,IF($A$1=2,Übersetzungen!B36,IF($A$1=3,Übersetzungen!C36,"")))</f>
        <v>Costi amministrativi</v>
      </c>
      <c r="C37" s="491"/>
      <c r="D37" s="584">
        <f>IF($B$21&lt;1000,0,Versicherungsausweis!G25)</f>
        <v>0</v>
      </c>
      <c r="E37" s="584">
        <f>IF($B$21&lt;1000,0,Versicherungsausweis!J25)</f>
        <v>0</v>
      </c>
      <c r="F37" s="584">
        <f>IF($B$21&lt;1000,0,Versicherungsausweis!D25)</f>
        <v>0</v>
      </c>
      <c r="G37" s="594"/>
      <c r="I37" s="470">
        <v>2026</v>
      </c>
      <c r="J37" s="598">
        <f>K37</f>
        <v>46023</v>
      </c>
      <c r="K37" s="597">
        <v>46023</v>
      </c>
      <c r="R37" s="592">
        <v>11004205</v>
      </c>
      <c r="S37" s="43">
        <v>311</v>
      </c>
    </row>
    <row r="38" spans="2:19" ht="15" customHeight="1" x14ac:dyDescent="0.25">
      <c r="B38" s="314" t="str">
        <f>IF($A$1=1,Übersetzungen!A33,IF($A$1=2,Übersetzungen!B33,IF($A$1=3,Übersetzungen!C33,"")))</f>
        <v>Totale</v>
      </c>
      <c r="C38" s="314"/>
      <c r="D38" s="322">
        <f>IF($B$21&lt;1000,0,Versicherungsausweis!G26)</f>
        <v>0</v>
      </c>
      <c r="E38" s="322">
        <f>IF($B$21&lt;1000,0,Versicherungsausweis!J26)</f>
        <v>0</v>
      </c>
      <c r="F38" s="322">
        <f>IF($B$21&lt;1000,0,Versicherungsausweis!D26)</f>
        <v>0</v>
      </c>
      <c r="G38" s="322"/>
      <c r="I38" s="470">
        <v>2027</v>
      </c>
      <c r="J38" s="598">
        <f>K38</f>
        <v>46388</v>
      </c>
      <c r="K38" s="597">
        <v>46388</v>
      </c>
      <c r="R38" s="592">
        <v>11005001</v>
      </c>
      <c r="S38" s="43">
        <v>312</v>
      </c>
    </row>
    <row r="39" spans="2:19" ht="15" customHeight="1" x14ac:dyDescent="0.25">
      <c r="D39" s="22"/>
      <c r="E39" s="22"/>
      <c r="F39" s="22"/>
      <c r="G39" s="22"/>
      <c r="I39" s="470">
        <v>2028</v>
      </c>
      <c r="J39" s="598">
        <f>K39</f>
        <v>46753</v>
      </c>
      <c r="K39" s="597">
        <v>46753</v>
      </c>
      <c r="R39" s="592">
        <v>11005005</v>
      </c>
      <c r="S39" s="43">
        <v>313</v>
      </c>
    </row>
    <row r="40" spans="2:19" ht="15" customHeight="1" x14ac:dyDescent="0.25">
      <c r="B40" s="117" t="str">
        <f>IF($A$1=1,Übersetzungen!A37,IF($A$1=2,Übersetzungen!B37,IF($A$1=3,Übersetzungen!C37,"")))</f>
        <v>Contributi (fr./mese):</v>
      </c>
      <c r="D40" s="585" t="str">
        <f>D34</f>
        <v>Datore di lavoro</v>
      </c>
      <c r="E40" s="585" t="str">
        <f>E34</f>
        <v>Dipendente</v>
      </c>
      <c r="F40" s="585" t="str">
        <f>F34</f>
        <v>Totale</v>
      </c>
      <c r="G40" s="585"/>
      <c r="I40" s="470">
        <v>2029</v>
      </c>
      <c r="J40" s="598">
        <f>K40</f>
        <v>47119</v>
      </c>
      <c r="K40" s="597">
        <v>47119</v>
      </c>
      <c r="R40" s="592">
        <v>11005101</v>
      </c>
      <c r="S40" s="43">
        <v>314</v>
      </c>
    </row>
    <row r="41" spans="2:19" ht="15" customHeight="1" x14ac:dyDescent="0.25">
      <c r="B41" t="str">
        <f>B35</f>
        <v>Contr. risparmio</v>
      </c>
      <c r="D41" s="583">
        <f>D35/12</f>
        <v>0</v>
      </c>
      <c r="E41" s="583">
        <f>E35/12</f>
        <v>0</v>
      </c>
      <c r="F41" s="583">
        <f>F35/12</f>
        <v>0</v>
      </c>
      <c r="G41" s="583"/>
      <c r="R41" s="592">
        <v>11005105</v>
      </c>
      <c r="S41" s="43">
        <v>315</v>
      </c>
    </row>
    <row r="42" spans="2:19" ht="15" customHeight="1" x14ac:dyDescent="0.25">
      <c r="B42" t="str">
        <f>B36</f>
        <v>Contr. rischio</v>
      </c>
      <c r="D42" s="583">
        <f t="shared" ref="D42:F44" si="0">D36/12</f>
        <v>0</v>
      </c>
      <c r="E42" s="583">
        <f t="shared" si="0"/>
        <v>0</v>
      </c>
      <c r="F42" s="583">
        <f t="shared" si="0"/>
        <v>0</v>
      </c>
      <c r="G42" s="583"/>
      <c r="R42" s="592">
        <v>11005201</v>
      </c>
      <c r="S42" s="43">
        <v>316</v>
      </c>
    </row>
    <row r="43" spans="2:19" ht="15" customHeight="1" x14ac:dyDescent="0.25">
      <c r="B43" s="491" t="str">
        <f>B37</f>
        <v>Costi amministrativi</v>
      </c>
      <c r="C43" s="491"/>
      <c r="D43" s="584">
        <f t="shared" si="0"/>
        <v>0</v>
      </c>
      <c r="E43" s="584">
        <f t="shared" si="0"/>
        <v>0</v>
      </c>
      <c r="F43" s="584">
        <f t="shared" si="0"/>
        <v>0</v>
      </c>
      <c r="G43" s="594"/>
      <c r="R43" s="592">
        <v>11005205</v>
      </c>
      <c r="S43" s="43">
        <v>317</v>
      </c>
    </row>
    <row r="44" spans="2:19" ht="15" customHeight="1" x14ac:dyDescent="0.25">
      <c r="B44" s="569" t="str">
        <f>B38</f>
        <v>Totale</v>
      </c>
      <c r="C44" s="314"/>
      <c r="D44" s="315">
        <f t="shared" si="0"/>
        <v>0</v>
      </c>
      <c r="E44" s="315">
        <f t="shared" si="0"/>
        <v>0</v>
      </c>
      <c r="F44" s="315">
        <f t="shared" si="0"/>
        <v>0</v>
      </c>
      <c r="G44" s="315"/>
      <c r="R44" s="592">
        <v>11011001</v>
      </c>
      <c r="S44" s="43">
        <v>321</v>
      </c>
    </row>
    <row r="45" spans="2:19" ht="15" customHeight="1" x14ac:dyDescent="0.25">
      <c r="B45" s="569"/>
      <c r="C45" s="314"/>
      <c r="D45" s="315"/>
      <c r="E45" s="315"/>
      <c r="F45" s="315"/>
      <c r="G45" s="315"/>
      <c r="R45" s="592">
        <v>11011005</v>
      </c>
      <c r="S45" s="43">
        <v>322</v>
      </c>
    </row>
    <row r="46" spans="2:19" ht="15" customHeight="1" x14ac:dyDescent="0.25">
      <c r="R46" s="592">
        <v>11011101</v>
      </c>
      <c r="S46" s="43">
        <v>323</v>
      </c>
    </row>
    <row r="47" spans="2:19" ht="15" customHeight="1" x14ac:dyDescent="0.25">
      <c r="B47" t="str">
        <f>IF($A$1=1,Übersetzungen!A38,IF($A$1=2,Übersetzungen!B38,IF($A$1=3,Übersetzungen!C38,"")))</f>
        <v>Tutti i contributi annuali sono arrotondati in modo da essere divisibili per 12.</v>
      </c>
      <c r="R47" s="592">
        <v>11011105</v>
      </c>
      <c r="S47" s="43">
        <v>324</v>
      </c>
    </row>
    <row r="48" spans="2:19" ht="28.2" customHeight="1" x14ac:dyDescent="0.25">
      <c r="B48" s="707" t="str">
        <f>IF($A$1=1,Übersetzungen!A39,IF($A$1=2,Übersetzungen!B39,IF($A$1=3,Übersetzungen!C39,"")))</f>
        <v>Calcoli senza garanzia. Possono verificarsi differenze di arrotondamento. Determinante è il regolamento di previdenza.</v>
      </c>
      <c r="C48" s="707"/>
      <c r="D48" s="707"/>
      <c r="E48" s="707"/>
      <c r="F48" s="707"/>
      <c r="G48" s="707"/>
      <c r="R48" s="592">
        <v>11011201</v>
      </c>
      <c r="S48" s="43">
        <v>325</v>
      </c>
    </row>
    <row r="49" spans="2:19" ht="15" customHeight="1" x14ac:dyDescent="0.25">
      <c r="R49" s="592">
        <v>11011205</v>
      </c>
      <c r="S49" s="43">
        <v>326</v>
      </c>
    </row>
    <row r="50" spans="2:19" ht="15" customHeight="1" x14ac:dyDescent="0.25">
      <c r="B50" s="571">
        <f ca="1">TODAY()</f>
        <v>46077</v>
      </c>
      <c r="R50" s="592">
        <v>11011501</v>
      </c>
      <c r="S50" s="43">
        <v>327</v>
      </c>
    </row>
    <row r="51" spans="2:19" ht="15" customHeight="1" x14ac:dyDescent="0.25">
      <c r="R51" s="592">
        <v>11011505</v>
      </c>
      <c r="S51" s="43">
        <v>411</v>
      </c>
    </row>
    <row r="52" spans="2:19" ht="15" customHeight="1" x14ac:dyDescent="0.25">
      <c r="R52" s="592">
        <v>11011601</v>
      </c>
      <c r="S52" s="43">
        <v>412</v>
      </c>
    </row>
    <row r="53" spans="2:19" x14ac:dyDescent="0.25">
      <c r="R53" s="592">
        <v>11011605</v>
      </c>
      <c r="S53" s="43">
        <v>413</v>
      </c>
    </row>
    <row r="54" spans="2:19" x14ac:dyDescent="0.25">
      <c r="R54" s="592">
        <v>11012001</v>
      </c>
      <c r="S54" s="43">
        <v>414</v>
      </c>
    </row>
    <row r="55" spans="2:19" x14ac:dyDescent="0.25">
      <c r="R55" s="592">
        <v>11012005</v>
      </c>
      <c r="S55" s="43">
        <v>415</v>
      </c>
    </row>
    <row r="56" spans="2:19" x14ac:dyDescent="0.25">
      <c r="R56" s="592">
        <v>11012101</v>
      </c>
      <c r="S56" s="43">
        <v>416</v>
      </c>
    </row>
    <row r="57" spans="2:19" x14ac:dyDescent="0.25">
      <c r="R57" s="592">
        <v>11012105</v>
      </c>
      <c r="S57" s="43">
        <v>417</v>
      </c>
    </row>
    <row r="58" spans="2:19" x14ac:dyDescent="0.25">
      <c r="R58" s="592">
        <v>11012201</v>
      </c>
      <c r="S58" s="43">
        <v>421</v>
      </c>
    </row>
    <row r="59" spans="2:19" x14ac:dyDescent="0.25">
      <c r="R59" s="592">
        <v>11012205</v>
      </c>
      <c r="S59" s="43">
        <v>422</v>
      </c>
    </row>
    <row r="60" spans="2:19" x14ac:dyDescent="0.25">
      <c r="R60" s="592">
        <v>11012501</v>
      </c>
      <c r="S60" s="43">
        <v>423</v>
      </c>
    </row>
    <row r="61" spans="2:19" x14ac:dyDescent="0.25">
      <c r="R61" s="592">
        <v>11012505</v>
      </c>
      <c r="S61" s="43">
        <v>424</v>
      </c>
    </row>
    <row r="62" spans="2:19" x14ac:dyDescent="0.25">
      <c r="R62" s="592">
        <v>11012601</v>
      </c>
      <c r="S62" s="43">
        <v>425</v>
      </c>
    </row>
    <row r="63" spans="2:19" x14ac:dyDescent="0.25">
      <c r="R63" s="592">
        <v>11012605</v>
      </c>
      <c r="S63" s="43">
        <v>426</v>
      </c>
    </row>
    <row r="64" spans="2:19" x14ac:dyDescent="0.25">
      <c r="R64" s="592">
        <v>11013001</v>
      </c>
      <c r="S64" s="43">
        <v>427</v>
      </c>
    </row>
    <row r="65" spans="18:19" x14ac:dyDescent="0.25">
      <c r="R65" s="592">
        <v>11013005</v>
      </c>
      <c r="S65" s="43">
        <v>552</v>
      </c>
    </row>
    <row r="66" spans="18:19" x14ac:dyDescent="0.25">
      <c r="R66" s="592">
        <v>11013101</v>
      </c>
      <c r="S66" s="43">
        <v>553</v>
      </c>
    </row>
    <row r="67" spans="18:19" x14ac:dyDescent="0.25">
      <c r="R67" s="592">
        <v>11013105</v>
      </c>
      <c r="S67" s="43">
        <v>554</v>
      </c>
    </row>
    <row r="68" spans="18:19" x14ac:dyDescent="0.25">
      <c r="R68" s="592">
        <v>11013201</v>
      </c>
      <c r="S68" s="43">
        <v>555</v>
      </c>
    </row>
    <row r="69" spans="18:19" x14ac:dyDescent="0.25">
      <c r="R69" s="592">
        <v>11013205</v>
      </c>
      <c r="S69" s="43">
        <v>556</v>
      </c>
    </row>
    <row r="70" spans="18:19" x14ac:dyDescent="0.25">
      <c r="R70" s="592">
        <v>11013501</v>
      </c>
      <c r="S70" s="43">
        <v>557</v>
      </c>
    </row>
    <row r="71" spans="18:19" x14ac:dyDescent="0.25">
      <c r="R71" s="592">
        <v>11013505</v>
      </c>
    </row>
    <row r="72" spans="18:19" x14ac:dyDescent="0.25">
      <c r="R72" s="592">
        <v>11013601</v>
      </c>
    </row>
    <row r="73" spans="18:19" x14ac:dyDescent="0.25">
      <c r="R73" s="592">
        <v>11013605</v>
      </c>
    </row>
    <row r="74" spans="18:19" x14ac:dyDescent="0.25">
      <c r="R74" s="592">
        <v>11014001</v>
      </c>
    </row>
    <row r="75" spans="18:19" x14ac:dyDescent="0.25">
      <c r="R75" s="592">
        <v>11014005</v>
      </c>
    </row>
    <row r="76" spans="18:19" x14ac:dyDescent="0.25">
      <c r="R76" s="592">
        <v>11014101</v>
      </c>
    </row>
    <row r="77" spans="18:19" x14ac:dyDescent="0.25">
      <c r="R77" s="592">
        <v>11014105</v>
      </c>
    </row>
    <row r="78" spans="18:19" x14ac:dyDescent="0.25">
      <c r="R78" s="592">
        <v>11014201</v>
      </c>
    </row>
    <row r="79" spans="18:19" x14ac:dyDescent="0.25">
      <c r="R79" s="592">
        <v>11014205</v>
      </c>
    </row>
    <row r="80" spans="18:19" x14ac:dyDescent="0.25">
      <c r="R80" s="592">
        <v>11015001</v>
      </c>
    </row>
    <row r="81" spans="18:18" x14ac:dyDescent="0.25">
      <c r="R81" s="592">
        <v>11015005</v>
      </c>
    </row>
    <row r="82" spans="18:18" x14ac:dyDescent="0.25">
      <c r="R82" s="592">
        <v>11015101</v>
      </c>
    </row>
    <row r="83" spans="18:18" x14ac:dyDescent="0.25">
      <c r="R83" s="592">
        <v>11015105</v>
      </c>
    </row>
    <row r="84" spans="18:18" x14ac:dyDescent="0.25">
      <c r="R84" s="592">
        <v>11015201</v>
      </c>
    </row>
    <row r="85" spans="18:18" x14ac:dyDescent="0.25">
      <c r="R85" s="592">
        <v>11015205</v>
      </c>
    </row>
    <row r="86" spans="18:18" x14ac:dyDescent="0.25">
      <c r="R86" s="592">
        <v>11021001</v>
      </c>
    </row>
    <row r="87" spans="18:18" x14ac:dyDescent="0.25">
      <c r="R87" s="592">
        <v>11021001</v>
      </c>
    </row>
    <row r="88" spans="18:18" x14ac:dyDescent="0.25">
      <c r="R88" s="592">
        <v>11021005</v>
      </c>
    </row>
    <row r="89" spans="18:18" x14ac:dyDescent="0.25">
      <c r="R89" s="592">
        <v>11021005</v>
      </c>
    </row>
    <row r="90" spans="18:18" x14ac:dyDescent="0.25">
      <c r="R90" s="592">
        <v>11021501</v>
      </c>
    </row>
    <row r="91" spans="18:18" x14ac:dyDescent="0.25">
      <c r="R91" s="592">
        <v>11021501</v>
      </c>
    </row>
    <row r="92" spans="18:18" x14ac:dyDescent="0.25">
      <c r="R92" s="592">
        <v>11021505</v>
      </c>
    </row>
    <row r="93" spans="18:18" x14ac:dyDescent="0.25">
      <c r="R93" s="592">
        <v>11021505</v>
      </c>
    </row>
    <row r="94" spans="18:18" x14ac:dyDescent="0.25">
      <c r="R94" s="592">
        <v>11021601</v>
      </c>
    </row>
    <row r="95" spans="18:18" x14ac:dyDescent="0.25">
      <c r="R95" s="592">
        <v>11021601</v>
      </c>
    </row>
    <row r="96" spans="18:18" x14ac:dyDescent="0.25">
      <c r="R96" s="592">
        <v>11021605</v>
      </c>
    </row>
    <row r="97" spans="18:18" x14ac:dyDescent="0.25">
      <c r="R97" s="592">
        <v>11021605</v>
      </c>
    </row>
    <row r="98" spans="18:18" x14ac:dyDescent="0.25">
      <c r="R98" s="592">
        <v>11022501</v>
      </c>
    </row>
    <row r="99" spans="18:18" x14ac:dyDescent="0.25">
      <c r="R99" s="592">
        <v>11022501</v>
      </c>
    </row>
    <row r="100" spans="18:18" x14ac:dyDescent="0.25">
      <c r="R100" s="592">
        <v>11022505</v>
      </c>
    </row>
    <row r="101" spans="18:18" x14ac:dyDescent="0.25">
      <c r="R101" s="592">
        <v>11022505</v>
      </c>
    </row>
    <row r="102" spans="18:18" x14ac:dyDescent="0.25">
      <c r="R102" s="592">
        <v>11022601</v>
      </c>
    </row>
    <row r="103" spans="18:18" x14ac:dyDescent="0.25">
      <c r="R103" s="592">
        <v>11022601</v>
      </c>
    </row>
    <row r="104" spans="18:18" x14ac:dyDescent="0.25">
      <c r="R104" s="592">
        <v>11022605</v>
      </c>
    </row>
    <row r="105" spans="18:18" x14ac:dyDescent="0.25">
      <c r="R105" s="592">
        <v>11022605</v>
      </c>
    </row>
    <row r="106" spans="18:18" x14ac:dyDescent="0.25">
      <c r="R106" s="592">
        <v>11023501</v>
      </c>
    </row>
    <row r="107" spans="18:18" x14ac:dyDescent="0.25">
      <c r="R107" s="592">
        <v>11023501</v>
      </c>
    </row>
    <row r="108" spans="18:18" x14ac:dyDescent="0.25">
      <c r="R108" s="592">
        <v>11023505</v>
      </c>
    </row>
    <row r="109" spans="18:18" x14ac:dyDescent="0.25">
      <c r="R109" s="592">
        <v>11023505</v>
      </c>
    </row>
    <row r="110" spans="18:18" x14ac:dyDescent="0.25">
      <c r="R110" s="592">
        <v>11023601</v>
      </c>
    </row>
    <row r="111" spans="18:18" x14ac:dyDescent="0.25">
      <c r="R111" s="592">
        <v>11023601</v>
      </c>
    </row>
    <row r="112" spans="18:18" x14ac:dyDescent="0.25">
      <c r="R112" s="592">
        <v>11023605</v>
      </c>
    </row>
    <row r="113" spans="18:18" x14ac:dyDescent="0.25">
      <c r="R113" s="592">
        <v>11023605</v>
      </c>
    </row>
    <row r="114" spans="18:18" x14ac:dyDescent="0.25">
      <c r="R114" s="592">
        <v>11101001</v>
      </c>
    </row>
    <row r="115" spans="18:18" x14ac:dyDescent="0.25">
      <c r="R115" s="592">
        <v>11101005</v>
      </c>
    </row>
    <row r="116" spans="18:18" x14ac:dyDescent="0.25">
      <c r="R116" s="592">
        <v>11101101</v>
      </c>
    </row>
    <row r="117" spans="18:18" x14ac:dyDescent="0.25">
      <c r="R117" s="592">
        <v>11101105</v>
      </c>
    </row>
    <row r="118" spans="18:18" x14ac:dyDescent="0.25">
      <c r="R118" s="592">
        <v>11101201</v>
      </c>
    </row>
    <row r="119" spans="18:18" x14ac:dyDescent="0.25">
      <c r="R119" s="592">
        <v>11101205</v>
      </c>
    </row>
    <row r="120" spans="18:18" x14ac:dyDescent="0.25">
      <c r="R120" s="592">
        <v>11101501</v>
      </c>
    </row>
    <row r="121" spans="18:18" x14ac:dyDescent="0.25">
      <c r="R121" s="592">
        <v>11101505</v>
      </c>
    </row>
    <row r="122" spans="18:18" x14ac:dyDescent="0.25">
      <c r="R122" s="592">
        <v>11101601</v>
      </c>
    </row>
    <row r="123" spans="18:18" x14ac:dyDescent="0.25">
      <c r="R123" s="592">
        <v>11101605</v>
      </c>
    </row>
    <row r="124" spans="18:18" x14ac:dyDescent="0.25">
      <c r="R124" s="592">
        <v>11102001</v>
      </c>
    </row>
    <row r="125" spans="18:18" x14ac:dyDescent="0.25">
      <c r="R125" s="592">
        <v>11102005</v>
      </c>
    </row>
    <row r="126" spans="18:18" x14ac:dyDescent="0.25">
      <c r="R126" s="592">
        <v>11102101</v>
      </c>
    </row>
    <row r="127" spans="18:18" x14ac:dyDescent="0.25">
      <c r="R127" s="592">
        <v>11102105</v>
      </c>
    </row>
    <row r="128" spans="18:18" x14ac:dyDescent="0.25">
      <c r="R128" s="592">
        <v>11102201</v>
      </c>
    </row>
    <row r="129" spans="18:18" x14ac:dyDescent="0.25">
      <c r="R129" s="592">
        <v>11102205</v>
      </c>
    </row>
    <row r="130" spans="18:18" x14ac:dyDescent="0.25">
      <c r="R130" s="592">
        <v>11102501</v>
      </c>
    </row>
    <row r="131" spans="18:18" x14ac:dyDescent="0.25">
      <c r="R131" s="592">
        <v>11102505</v>
      </c>
    </row>
    <row r="132" spans="18:18" x14ac:dyDescent="0.25">
      <c r="R132" s="592">
        <v>11102601</v>
      </c>
    </row>
    <row r="133" spans="18:18" x14ac:dyDescent="0.25">
      <c r="R133" s="592">
        <v>11102605</v>
      </c>
    </row>
    <row r="134" spans="18:18" x14ac:dyDescent="0.25">
      <c r="R134" s="592">
        <v>11103001</v>
      </c>
    </row>
    <row r="135" spans="18:18" x14ac:dyDescent="0.25">
      <c r="R135" s="592">
        <v>11103005</v>
      </c>
    </row>
    <row r="136" spans="18:18" x14ac:dyDescent="0.25">
      <c r="R136" s="592">
        <v>11103101</v>
      </c>
    </row>
    <row r="137" spans="18:18" x14ac:dyDescent="0.25">
      <c r="R137" s="592">
        <v>11103105</v>
      </c>
    </row>
    <row r="138" spans="18:18" x14ac:dyDescent="0.25">
      <c r="R138" s="592">
        <v>11103201</v>
      </c>
    </row>
    <row r="139" spans="18:18" x14ac:dyDescent="0.25">
      <c r="R139" s="592">
        <v>11103205</v>
      </c>
    </row>
    <row r="140" spans="18:18" x14ac:dyDescent="0.25">
      <c r="R140" s="592">
        <v>11103501</v>
      </c>
    </row>
    <row r="141" spans="18:18" x14ac:dyDescent="0.25">
      <c r="R141" s="592">
        <v>11103505</v>
      </c>
    </row>
    <row r="142" spans="18:18" x14ac:dyDescent="0.25">
      <c r="R142" s="592">
        <v>11103601</v>
      </c>
    </row>
    <row r="143" spans="18:18" x14ac:dyDescent="0.25">
      <c r="R143" s="592">
        <v>11103605</v>
      </c>
    </row>
    <row r="144" spans="18:18" x14ac:dyDescent="0.25">
      <c r="R144" s="592">
        <v>11104001</v>
      </c>
    </row>
    <row r="145" spans="18:18" x14ac:dyDescent="0.25">
      <c r="R145" s="592">
        <v>11104005</v>
      </c>
    </row>
    <row r="146" spans="18:18" x14ac:dyDescent="0.25">
      <c r="R146" s="592">
        <v>11104101</v>
      </c>
    </row>
    <row r="147" spans="18:18" x14ac:dyDescent="0.25">
      <c r="R147" s="592">
        <v>11104105</v>
      </c>
    </row>
    <row r="148" spans="18:18" x14ac:dyDescent="0.25">
      <c r="R148" s="592">
        <v>11104201</v>
      </c>
    </row>
    <row r="149" spans="18:18" x14ac:dyDescent="0.25">
      <c r="R149" s="592">
        <v>11104205</v>
      </c>
    </row>
    <row r="150" spans="18:18" x14ac:dyDescent="0.25">
      <c r="R150" s="592">
        <v>11105001</v>
      </c>
    </row>
    <row r="151" spans="18:18" x14ac:dyDescent="0.25">
      <c r="R151" s="592">
        <v>11105005</v>
      </c>
    </row>
    <row r="152" spans="18:18" x14ac:dyDescent="0.25">
      <c r="R152" s="592">
        <v>11105101</v>
      </c>
    </row>
    <row r="153" spans="18:18" x14ac:dyDescent="0.25">
      <c r="R153" s="592">
        <v>11105105</v>
      </c>
    </row>
    <row r="154" spans="18:18" x14ac:dyDescent="0.25">
      <c r="R154" s="592">
        <v>11105201</v>
      </c>
    </row>
    <row r="155" spans="18:18" x14ac:dyDescent="0.25">
      <c r="R155" s="592">
        <v>11105205</v>
      </c>
    </row>
    <row r="156" spans="18:18" x14ac:dyDescent="0.25">
      <c r="R156" s="592">
        <v>11111001</v>
      </c>
    </row>
    <row r="157" spans="18:18" x14ac:dyDescent="0.25">
      <c r="R157" s="592">
        <v>11111005</v>
      </c>
    </row>
    <row r="158" spans="18:18" x14ac:dyDescent="0.25">
      <c r="R158" s="592">
        <v>11111101</v>
      </c>
    </row>
    <row r="159" spans="18:18" x14ac:dyDescent="0.25">
      <c r="R159" s="592">
        <v>11111105</v>
      </c>
    </row>
    <row r="160" spans="18:18" x14ac:dyDescent="0.25">
      <c r="R160" s="592">
        <v>11111201</v>
      </c>
    </row>
    <row r="161" spans="18:18" x14ac:dyDescent="0.25">
      <c r="R161" s="592">
        <v>11111205</v>
      </c>
    </row>
    <row r="162" spans="18:18" x14ac:dyDescent="0.25">
      <c r="R162" s="592">
        <v>11111501</v>
      </c>
    </row>
    <row r="163" spans="18:18" x14ac:dyDescent="0.25">
      <c r="R163" s="592">
        <v>11111505</v>
      </c>
    </row>
    <row r="164" spans="18:18" x14ac:dyDescent="0.25">
      <c r="R164" s="592">
        <v>11111601</v>
      </c>
    </row>
    <row r="165" spans="18:18" x14ac:dyDescent="0.25">
      <c r="R165" s="592">
        <v>11111605</v>
      </c>
    </row>
    <row r="166" spans="18:18" x14ac:dyDescent="0.25">
      <c r="R166" s="592">
        <v>11112001</v>
      </c>
    </row>
    <row r="167" spans="18:18" x14ac:dyDescent="0.25">
      <c r="R167" s="592">
        <v>11112005</v>
      </c>
    </row>
    <row r="168" spans="18:18" x14ac:dyDescent="0.25">
      <c r="R168" s="592">
        <v>11112101</v>
      </c>
    </row>
    <row r="169" spans="18:18" x14ac:dyDescent="0.25">
      <c r="R169" s="592">
        <v>11112105</v>
      </c>
    </row>
    <row r="170" spans="18:18" x14ac:dyDescent="0.25">
      <c r="R170" s="592">
        <v>11112201</v>
      </c>
    </row>
    <row r="171" spans="18:18" x14ac:dyDescent="0.25">
      <c r="R171" s="592">
        <v>11112205</v>
      </c>
    </row>
    <row r="172" spans="18:18" x14ac:dyDescent="0.25">
      <c r="R172" s="592">
        <v>11112501</v>
      </c>
    </row>
    <row r="173" spans="18:18" x14ac:dyDescent="0.25">
      <c r="R173" s="592">
        <v>11112505</v>
      </c>
    </row>
    <row r="174" spans="18:18" x14ac:dyDescent="0.25">
      <c r="R174" s="592">
        <v>11112601</v>
      </c>
    </row>
    <row r="175" spans="18:18" x14ac:dyDescent="0.25">
      <c r="R175" s="592">
        <v>11112605</v>
      </c>
    </row>
    <row r="176" spans="18:18" x14ac:dyDescent="0.25">
      <c r="R176" s="592">
        <v>11113001</v>
      </c>
    </row>
    <row r="177" spans="18:18" x14ac:dyDescent="0.25">
      <c r="R177" s="592">
        <v>11113005</v>
      </c>
    </row>
    <row r="178" spans="18:18" x14ac:dyDescent="0.25">
      <c r="R178" s="592">
        <v>11113101</v>
      </c>
    </row>
    <row r="179" spans="18:18" x14ac:dyDescent="0.25">
      <c r="R179" s="592">
        <v>11113105</v>
      </c>
    </row>
    <row r="180" spans="18:18" x14ac:dyDescent="0.25">
      <c r="R180" s="592">
        <v>11113201</v>
      </c>
    </row>
    <row r="181" spans="18:18" x14ac:dyDescent="0.25">
      <c r="R181" s="592">
        <v>11113205</v>
      </c>
    </row>
    <row r="182" spans="18:18" x14ac:dyDescent="0.25">
      <c r="R182" s="592">
        <v>11113501</v>
      </c>
    </row>
    <row r="183" spans="18:18" x14ac:dyDescent="0.25">
      <c r="R183" s="592">
        <v>11113505</v>
      </c>
    </row>
    <row r="184" spans="18:18" x14ac:dyDescent="0.25">
      <c r="R184" s="592">
        <v>11113601</v>
      </c>
    </row>
    <row r="185" spans="18:18" x14ac:dyDescent="0.25">
      <c r="R185" s="592">
        <v>11113605</v>
      </c>
    </row>
    <row r="186" spans="18:18" x14ac:dyDescent="0.25">
      <c r="R186" s="592">
        <v>11114001</v>
      </c>
    </row>
    <row r="187" spans="18:18" x14ac:dyDescent="0.25">
      <c r="R187" s="592">
        <v>11114005</v>
      </c>
    </row>
    <row r="188" spans="18:18" x14ac:dyDescent="0.25">
      <c r="R188" s="592">
        <v>11114101</v>
      </c>
    </row>
    <row r="189" spans="18:18" x14ac:dyDescent="0.25">
      <c r="R189" s="592">
        <v>11114105</v>
      </c>
    </row>
    <row r="190" spans="18:18" x14ac:dyDescent="0.25">
      <c r="R190" s="592">
        <v>11114201</v>
      </c>
    </row>
    <row r="191" spans="18:18" x14ac:dyDescent="0.25">
      <c r="R191" s="592">
        <v>11114205</v>
      </c>
    </row>
    <row r="192" spans="18:18" x14ac:dyDescent="0.25">
      <c r="R192" s="592">
        <v>11115001</v>
      </c>
    </row>
    <row r="193" spans="18:18" x14ac:dyDescent="0.25">
      <c r="R193" s="592">
        <v>11115005</v>
      </c>
    </row>
    <row r="194" spans="18:18" x14ac:dyDescent="0.25">
      <c r="R194" s="592">
        <v>11115101</v>
      </c>
    </row>
    <row r="195" spans="18:18" x14ac:dyDescent="0.25">
      <c r="R195" s="592">
        <v>11115105</v>
      </c>
    </row>
    <row r="196" spans="18:18" x14ac:dyDescent="0.25">
      <c r="R196" s="592">
        <v>11115201</v>
      </c>
    </row>
    <row r="197" spans="18:18" x14ac:dyDescent="0.25">
      <c r="R197" s="592">
        <v>11115205</v>
      </c>
    </row>
    <row r="198" spans="18:18" x14ac:dyDescent="0.25">
      <c r="R198" s="592">
        <v>11201001</v>
      </c>
    </row>
    <row r="199" spans="18:18" x14ac:dyDescent="0.25">
      <c r="R199" s="592">
        <v>11201005</v>
      </c>
    </row>
    <row r="200" spans="18:18" x14ac:dyDescent="0.25">
      <c r="R200" s="592">
        <v>11201101</v>
      </c>
    </row>
    <row r="201" spans="18:18" x14ac:dyDescent="0.25">
      <c r="R201" s="592">
        <v>11201105</v>
      </c>
    </row>
    <row r="202" spans="18:18" x14ac:dyDescent="0.25">
      <c r="R202" s="592">
        <v>11201201</v>
      </c>
    </row>
    <row r="203" spans="18:18" x14ac:dyDescent="0.25">
      <c r="R203" s="592">
        <v>11201205</v>
      </c>
    </row>
    <row r="204" spans="18:18" x14ac:dyDescent="0.25">
      <c r="R204" s="592">
        <v>11201501</v>
      </c>
    </row>
    <row r="205" spans="18:18" x14ac:dyDescent="0.25">
      <c r="R205" s="592">
        <v>11201505</v>
      </c>
    </row>
    <row r="206" spans="18:18" x14ac:dyDescent="0.25">
      <c r="R206" s="592">
        <v>11201601</v>
      </c>
    </row>
    <row r="207" spans="18:18" x14ac:dyDescent="0.25">
      <c r="R207" s="592">
        <v>11201605</v>
      </c>
    </row>
    <row r="208" spans="18:18" x14ac:dyDescent="0.25">
      <c r="R208" s="592">
        <v>11202001</v>
      </c>
    </row>
    <row r="209" spans="18:18" x14ac:dyDescent="0.25">
      <c r="R209" s="592">
        <v>11202005</v>
      </c>
    </row>
    <row r="210" spans="18:18" x14ac:dyDescent="0.25">
      <c r="R210" s="592">
        <v>11202101</v>
      </c>
    </row>
    <row r="211" spans="18:18" x14ac:dyDescent="0.25">
      <c r="R211" s="592">
        <v>11202105</v>
      </c>
    </row>
    <row r="212" spans="18:18" x14ac:dyDescent="0.25">
      <c r="R212" s="592">
        <v>11202201</v>
      </c>
    </row>
    <row r="213" spans="18:18" x14ac:dyDescent="0.25">
      <c r="R213" s="592">
        <v>11202205</v>
      </c>
    </row>
    <row r="214" spans="18:18" x14ac:dyDescent="0.25">
      <c r="R214" s="592">
        <v>11202501</v>
      </c>
    </row>
    <row r="215" spans="18:18" x14ac:dyDescent="0.25">
      <c r="R215" s="592">
        <v>11202505</v>
      </c>
    </row>
    <row r="216" spans="18:18" x14ac:dyDescent="0.25">
      <c r="R216" s="592">
        <v>11202601</v>
      </c>
    </row>
    <row r="217" spans="18:18" x14ac:dyDescent="0.25">
      <c r="R217" s="592">
        <v>11202605</v>
      </c>
    </row>
    <row r="218" spans="18:18" x14ac:dyDescent="0.25">
      <c r="R218" s="592">
        <v>11203001</v>
      </c>
    </row>
    <row r="219" spans="18:18" x14ac:dyDescent="0.25">
      <c r="R219" s="592">
        <v>11203005</v>
      </c>
    </row>
    <row r="220" spans="18:18" x14ac:dyDescent="0.25">
      <c r="R220" s="592">
        <v>11203101</v>
      </c>
    </row>
    <row r="221" spans="18:18" x14ac:dyDescent="0.25">
      <c r="R221" s="592">
        <v>11203105</v>
      </c>
    </row>
    <row r="222" spans="18:18" x14ac:dyDescent="0.25">
      <c r="R222" s="592">
        <v>11203201</v>
      </c>
    </row>
    <row r="223" spans="18:18" x14ac:dyDescent="0.25">
      <c r="R223" s="592">
        <v>11203205</v>
      </c>
    </row>
    <row r="224" spans="18:18" x14ac:dyDescent="0.25">
      <c r="R224" s="592">
        <v>11203501</v>
      </c>
    </row>
    <row r="225" spans="18:18" x14ac:dyDescent="0.25">
      <c r="R225" s="592">
        <v>11203505</v>
      </c>
    </row>
    <row r="226" spans="18:18" x14ac:dyDescent="0.25">
      <c r="R226" s="592">
        <v>11203601</v>
      </c>
    </row>
    <row r="227" spans="18:18" x14ac:dyDescent="0.25">
      <c r="R227" s="592">
        <v>11203605</v>
      </c>
    </row>
    <row r="228" spans="18:18" x14ac:dyDescent="0.25">
      <c r="R228" s="592">
        <v>11204001</v>
      </c>
    </row>
    <row r="229" spans="18:18" x14ac:dyDescent="0.25">
      <c r="R229" s="592">
        <v>11204005</v>
      </c>
    </row>
    <row r="230" spans="18:18" x14ac:dyDescent="0.25">
      <c r="R230" s="592">
        <v>11204101</v>
      </c>
    </row>
    <row r="231" spans="18:18" x14ac:dyDescent="0.25">
      <c r="R231" s="592">
        <v>11204105</v>
      </c>
    </row>
    <row r="232" spans="18:18" x14ac:dyDescent="0.25">
      <c r="R232" s="592">
        <v>11204201</v>
      </c>
    </row>
    <row r="233" spans="18:18" x14ac:dyDescent="0.25">
      <c r="R233" s="592">
        <v>11204205</v>
      </c>
    </row>
    <row r="234" spans="18:18" x14ac:dyDescent="0.25">
      <c r="R234" s="592">
        <v>11205001</v>
      </c>
    </row>
    <row r="235" spans="18:18" x14ac:dyDescent="0.25">
      <c r="R235" s="592">
        <v>11205005</v>
      </c>
    </row>
    <row r="236" spans="18:18" x14ac:dyDescent="0.25">
      <c r="R236" s="592">
        <v>11205101</v>
      </c>
    </row>
    <row r="237" spans="18:18" x14ac:dyDescent="0.25">
      <c r="R237" s="592">
        <v>11205105</v>
      </c>
    </row>
    <row r="238" spans="18:18" x14ac:dyDescent="0.25">
      <c r="R238" s="592">
        <v>11205201</v>
      </c>
    </row>
    <row r="239" spans="18:18" x14ac:dyDescent="0.25">
      <c r="R239" s="592">
        <v>11205205</v>
      </c>
    </row>
    <row r="240" spans="18:18" x14ac:dyDescent="0.25">
      <c r="R240" s="592">
        <v>11211001</v>
      </c>
    </row>
    <row r="241" spans="18:18" x14ac:dyDescent="0.25">
      <c r="R241" s="592">
        <v>11211005</v>
      </c>
    </row>
    <row r="242" spans="18:18" x14ac:dyDescent="0.25">
      <c r="R242" s="592">
        <v>11211101</v>
      </c>
    </row>
    <row r="243" spans="18:18" x14ac:dyDescent="0.25">
      <c r="R243" s="592">
        <v>11211105</v>
      </c>
    </row>
    <row r="244" spans="18:18" x14ac:dyDescent="0.25">
      <c r="R244" s="592">
        <v>11211201</v>
      </c>
    </row>
    <row r="245" spans="18:18" x14ac:dyDescent="0.25">
      <c r="R245" s="592">
        <v>11211205</v>
      </c>
    </row>
    <row r="246" spans="18:18" x14ac:dyDescent="0.25">
      <c r="R246" s="592">
        <v>11211501</v>
      </c>
    </row>
    <row r="247" spans="18:18" x14ac:dyDescent="0.25">
      <c r="R247" s="592">
        <v>11211505</v>
      </c>
    </row>
    <row r="248" spans="18:18" x14ac:dyDescent="0.25">
      <c r="R248" s="592">
        <v>11211601</v>
      </c>
    </row>
    <row r="249" spans="18:18" x14ac:dyDescent="0.25">
      <c r="R249" s="592">
        <v>11211605</v>
      </c>
    </row>
    <row r="250" spans="18:18" x14ac:dyDescent="0.25">
      <c r="R250" s="592">
        <v>11212001</v>
      </c>
    </row>
    <row r="251" spans="18:18" x14ac:dyDescent="0.25">
      <c r="R251" s="592">
        <v>11212005</v>
      </c>
    </row>
    <row r="252" spans="18:18" x14ac:dyDescent="0.25">
      <c r="R252" s="592">
        <v>11212101</v>
      </c>
    </row>
    <row r="253" spans="18:18" x14ac:dyDescent="0.25">
      <c r="R253" s="592">
        <v>11212105</v>
      </c>
    </row>
    <row r="254" spans="18:18" x14ac:dyDescent="0.25">
      <c r="R254" s="592">
        <v>11212201</v>
      </c>
    </row>
    <row r="255" spans="18:18" x14ac:dyDescent="0.25">
      <c r="R255" s="592">
        <v>11212205</v>
      </c>
    </row>
    <row r="256" spans="18:18" x14ac:dyDescent="0.25">
      <c r="R256" s="592">
        <v>11212501</v>
      </c>
    </row>
    <row r="257" spans="18:18" x14ac:dyDescent="0.25">
      <c r="R257" s="592">
        <v>11212505</v>
      </c>
    </row>
    <row r="258" spans="18:18" x14ac:dyDescent="0.25">
      <c r="R258" s="592">
        <v>11212601</v>
      </c>
    </row>
    <row r="259" spans="18:18" x14ac:dyDescent="0.25">
      <c r="R259" s="592">
        <v>11212605</v>
      </c>
    </row>
    <row r="260" spans="18:18" x14ac:dyDescent="0.25">
      <c r="R260" s="592">
        <v>11213001</v>
      </c>
    </row>
    <row r="261" spans="18:18" x14ac:dyDescent="0.25">
      <c r="R261" s="592">
        <v>11213005</v>
      </c>
    </row>
    <row r="262" spans="18:18" x14ac:dyDescent="0.25">
      <c r="R262" s="592">
        <v>11213101</v>
      </c>
    </row>
    <row r="263" spans="18:18" x14ac:dyDescent="0.25">
      <c r="R263" s="592">
        <v>11213105</v>
      </c>
    </row>
    <row r="264" spans="18:18" x14ac:dyDescent="0.25">
      <c r="R264" s="592">
        <v>11213201</v>
      </c>
    </row>
    <row r="265" spans="18:18" x14ac:dyDescent="0.25">
      <c r="R265" s="592">
        <v>11213205</v>
      </c>
    </row>
    <row r="266" spans="18:18" x14ac:dyDescent="0.25">
      <c r="R266" s="592">
        <v>11213501</v>
      </c>
    </row>
    <row r="267" spans="18:18" x14ac:dyDescent="0.25">
      <c r="R267" s="592">
        <v>11213505</v>
      </c>
    </row>
    <row r="268" spans="18:18" x14ac:dyDescent="0.25">
      <c r="R268" s="592">
        <v>11213601</v>
      </c>
    </row>
    <row r="269" spans="18:18" x14ac:dyDescent="0.25">
      <c r="R269" s="592">
        <v>11213605</v>
      </c>
    </row>
    <row r="270" spans="18:18" x14ac:dyDescent="0.25">
      <c r="R270" s="592">
        <v>11214001</v>
      </c>
    </row>
    <row r="271" spans="18:18" x14ac:dyDescent="0.25">
      <c r="R271" s="592">
        <v>11214005</v>
      </c>
    </row>
    <row r="272" spans="18:18" x14ac:dyDescent="0.25">
      <c r="R272" s="592">
        <v>11214101</v>
      </c>
    </row>
    <row r="273" spans="18:18" x14ac:dyDescent="0.25">
      <c r="R273" s="592">
        <v>11214105</v>
      </c>
    </row>
    <row r="274" spans="18:18" x14ac:dyDescent="0.25">
      <c r="R274" s="592">
        <v>11214201</v>
      </c>
    </row>
    <row r="275" spans="18:18" x14ac:dyDescent="0.25">
      <c r="R275" s="592">
        <v>11214205</v>
      </c>
    </row>
    <row r="276" spans="18:18" x14ac:dyDescent="0.25">
      <c r="R276" s="592">
        <v>11215001</v>
      </c>
    </row>
    <row r="277" spans="18:18" x14ac:dyDescent="0.25">
      <c r="R277" s="592">
        <v>11215005</v>
      </c>
    </row>
    <row r="278" spans="18:18" x14ac:dyDescent="0.25">
      <c r="R278" s="592">
        <v>11215101</v>
      </c>
    </row>
    <row r="279" spans="18:18" x14ac:dyDescent="0.25">
      <c r="R279" s="592">
        <v>11215105</v>
      </c>
    </row>
    <row r="280" spans="18:18" x14ac:dyDescent="0.25">
      <c r="R280" s="592">
        <v>11215201</v>
      </c>
    </row>
    <row r="281" spans="18:18" x14ac:dyDescent="0.25">
      <c r="R281" s="592">
        <v>11215205</v>
      </c>
    </row>
    <row r="282" spans="18:18" x14ac:dyDescent="0.25">
      <c r="R282" s="592">
        <v>12001001</v>
      </c>
    </row>
    <row r="283" spans="18:18" x14ac:dyDescent="0.25">
      <c r="R283" s="592">
        <v>12001005</v>
      </c>
    </row>
    <row r="284" spans="18:18" x14ac:dyDescent="0.25">
      <c r="R284" s="592">
        <v>12001101</v>
      </c>
    </row>
    <row r="285" spans="18:18" x14ac:dyDescent="0.25">
      <c r="R285" s="592">
        <v>12001105</v>
      </c>
    </row>
    <row r="286" spans="18:18" x14ac:dyDescent="0.25">
      <c r="R286" s="592">
        <v>12001201</v>
      </c>
    </row>
    <row r="287" spans="18:18" x14ac:dyDescent="0.25">
      <c r="R287" s="592">
        <v>12001205</v>
      </c>
    </row>
    <row r="288" spans="18:18" x14ac:dyDescent="0.25">
      <c r="R288" s="592">
        <v>12001501</v>
      </c>
    </row>
    <row r="289" spans="18:18" x14ac:dyDescent="0.25">
      <c r="R289" s="592">
        <v>12001505</v>
      </c>
    </row>
    <row r="290" spans="18:18" x14ac:dyDescent="0.25">
      <c r="R290" s="592">
        <v>12001601</v>
      </c>
    </row>
    <row r="291" spans="18:18" x14ac:dyDescent="0.25">
      <c r="R291" s="592">
        <v>12001605</v>
      </c>
    </row>
    <row r="292" spans="18:18" x14ac:dyDescent="0.25">
      <c r="R292" s="592">
        <v>12002001</v>
      </c>
    </row>
    <row r="293" spans="18:18" x14ac:dyDescent="0.25">
      <c r="R293" s="592">
        <v>12002005</v>
      </c>
    </row>
    <row r="294" spans="18:18" x14ac:dyDescent="0.25">
      <c r="R294" s="592">
        <v>12002101</v>
      </c>
    </row>
    <row r="295" spans="18:18" x14ac:dyDescent="0.25">
      <c r="R295" s="592">
        <v>12002105</v>
      </c>
    </row>
    <row r="296" spans="18:18" x14ac:dyDescent="0.25">
      <c r="R296" s="592">
        <v>12002201</v>
      </c>
    </row>
    <row r="297" spans="18:18" x14ac:dyDescent="0.25">
      <c r="R297" s="592">
        <v>12002205</v>
      </c>
    </row>
    <row r="298" spans="18:18" x14ac:dyDescent="0.25">
      <c r="R298" s="592">
        <v>12002501</v>
      </c>
    </row>
    <row r="299" spans="18:18" x14ac:dyDescent="0.25">
      <c r="R299" s="592">
        <v>12002505</v>
      </c>
    </row>
    <row r="300" spans="18:18" x14ac:dyDescent="0.25">
      <c r="R300" s="592">
        <v>12002601</v>
      </c>
    </row>
    <row r="301" spans="18:18" x14ac:dyDescent="0.25">
      <c r="R301" s="592">
        <v>12002605</v>
      </c>
    </row>
    <row r="302" spans="18:18" x14ac:dyDescent="0.25">
      <c r="R302" s="592">
        <v>12003001</v>
      </c>
    </row>
    <row r="303" spans="18:18" x14ac:dyDescent="0.25">
      <c r="R303" s="592">
        <v>12003005</v>
      </c>
    </row>
    <row r="304" spans="18:18" x14ac:dyDescent="0.25">
      <c r="R304" s="592">
        <v>12003101</v>
      </c>
    </row>
    <row r="305" spans="18:18" x14ac:dyDescent="0.25">
      <c r="R305" s="592">
        <v>12003105</v>
      </c>
    </row>
    <row r="306" spans="18:18" x14ac:dyDescent="0.25">
      <c r="R306" s="592">
        <v>12003201</v>
      </c>
    </row>
    <row r="307" spans="18:18" x14ac:dyDescent="0.25">
      <c r="R307" s="592">
        <v>12003205</v>
      </c>
    </row>
    <row r="308" spans="18:18" x14ac:dyDescent="0.25">
      <c r="R308" s="592">
        <v>12003501</v>
      </c>
    </row>
    <row r="309" spans="18:18" x14ac:dyDescent="0.25">
      <c r="R309" s="592">
        <v>12003505</v>
      </c>
    </row>
    <row r="310" spans="18:18" x14ac:dyDescent="0.25">
      <c r="R310" s="592">
        <v>12003601</v>
      </c>
    </row>
    <row r="311" spans="18:18" x14ac:dyDescent="0.25">
      <c r="R311" s="592">
        <v>12003605</v>
      </c>
    </row>
    <row r="312" spans="18:18" x14ac:dyDescent="0.25">
      <c r="R312" s="592">
        <v>12004001</v>
      </c>
    </row>
    <row r="313" spans="18:18" x14ac:dyDescent="0.25">
      <c r="R313" s="592">
        <v>12004005</v>
      </c>
    </row>
    <row r="314" spans="18:18" x14ac:dyDescent="0.25">
      <c r="R314" s="592">
        <v>12004101</v>
      </c>
    </row>
    <row r="315" spans="18:18" x14ac:dyDescent="0.25">
      <c r="R315" s="592">
        <v>12004105</v>
      </c>
    </row>
    <row r="316" spans="18:18" x14ac:dyDescent="0.25">
      <c r="R316" s="592">
        <v>12004201</v>
      </c>
    </row>
    <row r="317" spans="18:18" x14ac:dyDescent="0.25">
      <c r="R317" s="592">
        <v>12004205</v>
      </c>
    </row>
    <row r="318" spans="18:18" x14ac:dyDescent="0.25">
      <c r="R318" s="592">
        <v>12005001</v>
      </c>
    </row>
    <row r="319" spans="18:18" x14ac:dyDescent="0.25">
      <c r="R319" s="592">
        <v>12005005</v>
      </c>
    </row>
    <row r="320" spans="18:18" x14ac:dyDescent="0.25">
      <c r="R320" s="592">
        <v>12005101</v>
      </c>
    </row>
    <row r="321" spans="18:18" x14ac:dyDescent="0.25">
      <c r="R321" s="592">
        <v>12005105</v>
      </c>
    </row>
    <row r="322" spans="18:18" x14ac:dyDescent="0.25">
      <c r="R322" s="592">
        <v>12005201</v>
      </c>
    </row>
    <row r="323" spans="18:18" x14ac:dyDescent="0.25">
      <c r="R323" s="592">
        <v>12005205</v>
      </c>
    </row>
    <row r="324" spans="18:18" x14ac:dyDescent="0.25">
      <c r="R324" s="592">
        <v>12011001</v>
      </c>
    </row>
    <row r="325" spans="18:18" x14ac:dyDescent="0.25">
      <c r="R325" s="592">
        <v>12011005</v>
      </c>
    </row>
    <row r="326" spans="18:18" x14ac:dyDescent="0.25">
      <c r="R326" s="592">
        <v>12011101</v>
      </c>
    </row>
    <row r="327" spans="18:18" x14ac:dyDescent="0.25">
      <c r="R327" s="592">
        <v>12011105</v>
      </c>
    </row>
    <row r="328" spans="18:18" x14ac:dyDescent="0.25">
      <c r="R328" s="592">
        <v>12011201</v>
      </c>
    </row>
    <row r="329" spans="18:18" x14ac:dyDescent="0.25">
      <c r="R329" s="592">
        <v>12011205</v>
      </c>
    </row>
    <row r="330" spans="18:18" x14ac:dyDescent="0.25">
      <c r="R330" s="592">
        <v>12011501</v>
      </c>
    </row>
    <row r="331" spans="18:18" x14ac:dyDescent="0.25">
      <c r="R331" s="592">
        <v>12011505</v>
      </c>
    </row>
    <row r="332" spans="18:18" x14ac:dyDescent="0.25">
      <c r="R332" s="592">
        <v>12011601</v>
      </c>
    </row>
    <row r="333" spans="18:18" x14ac:dyDescent="0.25">
      <c r="R333" s="592">
        <v>12011605</v>
      </c>
    </row>
    <row r="334" spans="18:18" x14ac:dyDescent="0.25">
      <c r="R334" s="592">
        <v>12012001</v>
      </c>
    </row>
    <row r="335" spans="18:18" x14ac:dyDescent="0.25">
      <c r="R335" s="592">
        <v>12012005</v>
      </c>
    </row>
    <row r="336" spans="18:18" x14ac:dyDescent="0.25">
      <c r="R336" s="592">
        <v>12012101</v>
      </c>
    </row>
    <row r="337" spans="18:18" x14ac:dyDescent="0.25">
      <c r="R337" s="592">
        <v>12012105</v>
      </c>
    </row>
    <row r="338" spans="18:18" x14ac:dyDescent="0.25">
      <c r="R338" s="592">
        <v>12012201</v>
      </c>
    </row>
    <row r="339" spans="18:18" x14ac:dyDescent="0.25">
      <c r="R339" s="592">
        <v>12012205</v>
      </c>
    </row>
    <row r="340" spans="18:18" x14ac:dyDescent="0.25">
      <c r="R340" s="592">
        <v>12012501</v>
      </c>
    </row>
    <row r="341" spans="18:18" x14ac:dyDescent="0.25">
      <c r="R341" s="592">
        <v>12012505</v>
      </c>
    </row>
    <row r="342" spans="18:18" x14ac:dyDescent="0.25">
      <c r="R342" s="592">
        <v>12012601</v>
      </c>
    </row>
    <row r="343" spans="18:18" x14ac:dyDescent="0.25">
      <c r="R343" s="592">
        <v>12012605</v>
      </c>
    </row>
    <row r="344" spans="18:18" x14ac:dyDescent="0.25">
      <c r="R344" s="592">
        <v>12013001</v>
      </c>
    </row>
    <row r="345" spans="18:18" x14ac:dyDescent="0.25">
      <c r="R345" s="592">
        <v>12013005</v>
      </c>
    </row>
    <row r="346" spans="18:18" x14ac:dyDescent="0.25">
      <c r="R346" s="592">
        <v>12013101</v>
      </c>
    </row>
    <row r="347" spans="18:18" x14ac:dyDescent="0.25">
      <c r="R347" s="592">
        <v>12013105</v>
      </c>
    </row>
    <row r="348" spans="18:18" x14ac:dyDescent="0.25">
      <c r="R348" s="592">
        <v>12013201</v>
      </c>
    </row>
    <row r="349" spans="18:18" x14ac:dyDescent="0.25">
      <c r="R349" s="592">
        <v>12013205</v>
      </c>
    </row>
    <row r="350" spans="18:18" x14ac:dyDescent="0.25">
      <c r="R350" s="592">
        <v>12013501</v>
      </c>
    </row>
    <row r="351" spans="18:18" x14ac:dyDescent="0.25">
      <c r="R351" s="592">
        <v>12013505</v>
      </c>
    </row>
    <row r="352" spans="18:18" x14ac:dyDescent="0.25">
      <c r="R352" s="592">
        <v>12013601</v>
      </c>
    </row>
    <row r="353" spans="18:18" x14ac:dyDescent="0.25">
      <c r="R353" s="592">
        <v>12013605</v>
      </c>
    </row>
    <row r="354" spans="18:18" x14ac:dyDescent="0.25">
      <c r="R354" s="592">
        <v>12014001</v>
      </c>
    </row>
    <row r="355" spans="18:18" x14ac:dyDescent="0.25">
      <c r="R355" s="592">
        <v>12014005</v>
      </c>
    </row>
    <row r="356" spans="18:18" x14ac:dyDescent="0.25">
      <c r="R356" s="592">
        <v>12014101</v>
      </c>
    </row>
    <row r="357" spans="18:18" x14ac:dyDescent="0.25">
      <c r="R357" s="592">
        <v>12014105</v>
      </c>
    </row>
    <row r="358" spans="18:18" x14ac:dyDescent="0.25">
      <c r="R358" s="592">
        <v>12014201</v>
      </c>
    </row>
    <row r="359" spans="18:18" x14ac:dyDescent="0.25">
      <c r="R359" s="592">
        <v>12014205</v>
      </c>
    </row>
    <row r="360" spans="18:18" x14ac:dyDescent="0.25">
      <c r="R360" s="592">
        <v>12015001</v>
      </c>
    </row>
    <row r="361" spans="18:18" x14ac:dyDescent="0.25">
      <c r="R361" s="592">
        <v>12015005</v>
      </c>
    </row>
    <row r="362" spans="18:18" x14ac:dyDescent="0.25">
      <c r="R362" s="592">
        <v>12015101</v>
      </c>
    </row>
    <row r="363" spans="18:18" x14ac:dyDescent="0.25">
      <c r="R363" s="592">
        <v>12015105</v>
      </c>
    </row>
    <row r="364" spans="18:18" x14ac:dyDescent="0.25">
      <c r="R364" s="592">
        <v>12015201</v>
      </c>
    </row>
    <row r="365" spans="18:18" x14ac:dyDescent="0.25">
      <c r="R365" s="592">
        <v>12015205</v>
      </c>
    </row>
    <row r="366" spans="18:18" x14ac:dyDescent="0.25">
      <c r="R366" s="592">
        <v>12101001</v>
      </c>
    </row>
    <row r="367" spans="18:18" x14ac:dyDescent="0.25">
      <c r="R367" s="592">
        <v>12101005</v>
      </c>
    </row>
    <row r="368" spans="18:18" x14ac:dyDescent="0.25">
      <c r="R368" s="592">
        <v>12101101</v>
      </c>
    </row>
    <row r="369" spans="18:18" x14ac:dyDescent="0.25">
      <c r="R369" s="592">
        <v>12101105</v>
      </c>
    </row>
    <row r="370" spans="18:18" x14ac:dyDescent="0.25">
      <c r="R370" s="592">
        <v>12101201</v>
      </c>
    </row>
    <row r="371" spans="18:18" x14ac:dyDescent="0.25">
      <c r="R371" s="592">
        <v>12101205</v>
      </c>
    </row>
    <row r="372" spans="18:18" x14ac:dyDescent="0.25">
      <c r="R372" s="592">
        <v>12101501</v>
      </c>
    </row>
    <row r="373" spans="18:18" x14ac:dyDescent="0.25">
      <c r="R373" s="592">
        <v>12101505</v>
      </c>
    </row>
    <row r="374" spans="18:18" x14ac:dyDescent="0.25">
      <c r="R374" s="592">
        <v>12101601</v>
      </c>
    </row>
    <row r="375" spans="18:18" x14ac:dyDescent="0.25">
      <c r="R375" s="592">
        <v>12101605</v>
      </c>
    </row>
    <row r="376" spans="18:18" x14ac:dyDescent="0.25">
      <c r="R376" s="592">
        <v>12102001</v>
      </c>
    </row>
    <row r="377" spans="18:18" x14ac:dyDescent="0.25">
      <c r="R377" s="592">
        <v>12102005</v>
      </c>
    </row>
    <row r="378" spans="18:18" x14ac:dyDescent="0.25">
      <c r="R378" s="592">
        <v>12102101</v>
      </c>
    </row>
    <row r="379" spans="18:18" x14ac:dyDescent="0.25">
      <c r="R379" s="592">
        <v>12102105</v>
      </c>
    </row>
    <row r="380" spans="18:18" x14ac:dyDescent="0.25">
      <c r="R380" s="592">
        <v>12102201</v>
      </c>
    </row>
    <row r="381" spans="18:18" x14ac:dyDescent="0.25">
      <c r="R381" s="592">
        <v>12102205</v>
      </c>
    </row>
    <row r="382" spans="18:18" x14ac:dyDescent="0.25">
      <c r="R382" s="592">
        <v>12102501</v>
      </c>
    </row>
    <row r="383" spans="18:18" x14ac:dyDescent="0.25">
      <c r="R383" s="592">
        <v>12102505</v>
      </c>
    </row>
    <row r="384" spans="18:18" x14ac:dyDescent="0.25">
      <c r="R384" s="592">
        <v>12102601</v>
      </c>
    </row>
    <row r="385" spans="18:18" x14ac:dyDescent="0.25">
      <c r="R385" s="592">
        <v>12102605</v>
      </c>
    </row>
    <row r="386" spans="18:18" x14ac:dyDescent="0.25">
      <c r="R386" s="592">
        <v>12103001</v>
      </c>
    </row>
    <row r="387" spans="18:18" x14ac:dyDescent="0.25">
      <c r="R387" s="592">
        <v>12103005</v>
      </c>
    </row>
    <row r="388" spans="18:18" x14ac:dyDescent="0.25">
      <c r="R388" s="592">
        <v>12103101</v>
      </c>
    </row>
    <row r="389" spans="18:18" x14ac:dyDescent="0.25">
      <c r="R389" s="592">
        <v>12103105</v>
      </c>
    </row>
    <row r="390" spans="18:18" x14ac:dyDescent="0.25">
      <c r="R390" s="592">
        <v>12103201</v>
      </c>
    </row>
    <row r="391" spans="18:18" x14ac:dyDescent="0.25">
      <c r="R391" s="592">
        <v>12103205</v>
      </c>
    </row>
    <row r="392" spans="18:18" x14ac:dyDescent="0.25">
      <c r="R392" s="592">
        <v>12103501</v>
      </c>
    </row>
    <row r="393" spans="18:18" x14ac:dyDescent="0.25">
      <c r="R393" s="592">
        <v>12103505</v>
      </c>
    </row>
    <row r="394" spans="18:18" x14ac:dyDescent="0.25">
      <c r="R394" s="592">
        <v>12103601</v>
      </c>
    </row>
    <row r="395" spans="18:18" x14ac:dyDescent="0.25">
      <c r="R395" s="592">
        <v>12103605</v>
      </c>
    </row>
    <row r="396" spans="18:18" x14ac:dyDescent="0.25">
      <c r="R396" s="592">
        <v>12104001</v>
      </c>
    </row>
    <row r="397" spans="18:18" x14ac:dyDescent="0.25">
      <c r="R397" s="592">
        <v>12104005</v>
      </c>
    </row>
    <row r="398" spans="18:18" x14ac:dyDescent="0.25">
      <c r="R398" s="592">
        <v>12104101</v>
      </c>
    </row>
    <row r="399" spans="18:18" x14ac:dyDescent="0.25">
      <c r="R399" s="592">
        <v>12104105</v>
      </c>
    </row>
    <row r="400" spans="18:18" x14ac:dyDescent="0.25">
      <c r="R400" s="592">
        <v>12104201</v>
      </c>
    </row>
    <row r="401" spans="18:18" x14ac:dyDescent="0.25">
      <c r="R401" s="592">
        <v>12104205</v>
      </c>
    </row>
    <row r="402" spans="18:18" x14ac:dyDescent="0.25">
      <c r="R402" s="592">
        <v>12105001</v>
      </c>
    </row>
    <row r="403" spans="18:18" x14ac:dyDescent="0.25">
      <c r="R403" s="592">
        <v>12105005</v>
      </c>
    </row>
    <row r="404" spans="18:18" x14ac:dyDescent="0.25">
      <c r="R404" s="592">
        <v>12105101</v>
      </c>
    </row>
    <row r="405" spans="18:18" x14ac:dyDescent="0.25">
      <c r="R405" s="592">
        <v>12105105</v>
      </c>
    </row>
    <row r="406" spans="18:18" x14ac:dyDescent="0.25">
      <c r="R406" s="592">
        <v>12105201</v>
      </c>
    </row>
    <row r="407" spans="18:18" x14ac:dyDescent="0.25">
      <c r="R407" s="592">
        <v>12105205</v>
      </c>
    </row>
    <row r="408" spans="18:18" x14ac:dyDescent="0.25">
      <c r="R408" s="592">
        <v>12111001</v>
      </c>
    </row>
    <row r="409" spans="18:18" x14ac:dyDescent="0.25">
      <c r="R409" s="592">
        <v>12111005</v>
      </c>
    </row>
    <row r="410" spans="18:18" x14ac:dyDescent="0.25">
      <c r="R410" s="592">
        <v>12111101</v>
      </c>
    </row>
    <row r="411" spans="18:18" x14ac:dyDescent="0.25">
      <c r="R411" s="592">
        <v>12111105</v>
      </c>
    </row>
    <row r="412" spans="18:18" x14ac:dyDescent="0.25">
      <c r="R412" s="592">
        <v>12111201</v>
      </c>
    </row>
    <row r="413" spans="18:18" x14ac:dyDescent="0.25">
      <c r="R413" s="592">
        <v>12111205</v>
      </c>
    </row>
    <row r="414" spans="18:18" x14ac:dyDescent="0.25">
      <c r="R414" s="592">
        <v>12111501</v>
      </c>
    </row>
    <row r="415" spans="18:18" x14ac:dyDescent="0.25">
      <c r="R415" s="592">
        <v>12111505</v>
      </c>
    </row>
    <row r="416" spans="18:18" x14ac:dyDescent="0.25">
      <c r="R416" s="592">
        <v>12111601</v>
      </c>
    </row>
    <row r="417" spans="18:18" x14ac:dyDescent="0.25">
      <c r="R417" s="592">
        <v>12111605</v>
      </c>
    </row>
    <row r="418" spans="18:18" x14ac:dyDescent="0.25">
      <c r="R418" s="592">
        <v>12112001</v>
      </c>
    </row>
    <row r="419" spans="18:18" x14ac:dyDescent="0.25">
      <c r="R419" s="592">
        <v>12112005</v>
      </c>
    </row>
    <row r="420" spans="18:18" x14ac:dyDescent="0.25">
      <c r="R420" s="592">
        <v>12112101</v>
      </c>
    </row>
    <row r="421" spans="18:18" x14ac:dyDescent="0.25">
      <c r="R421" s="592">
        <v>12112105</v>
      </c>
    </row>
    <row r="422" spans="18:18" x14ac:dyDescent="0.25">
      <c r="R422" s="592">
        <v>12112201</v>
      </c>
    </row>
    <row r="423" spans="18:18" x14ac:dyDescent="0.25">
      <c r="R423" s="592">
        <v>12112205</v>
      </c>
    </row>
    <row r="424" spans="18:18" x14ac:dyDescent="0.25">
      <c r="R424" s="592">
        <v>12112501</v>
      </c>
    </row>
    <row r="425" spans="18:18" x14ac:dyDescent="0.25">
      <c r="R425" s="592">
        <v>12112505</v>
      </c>
    </row>
    <row r="426" spans="18:18" x14ac:dyDescent="0.25">
      <c r="R426" s="592">
        <v>12112601</v>
      </c>
    </row>
    <row r="427" spans="18:18" x14ac:dyDescent="0.25">
      <c r="R427" s="592">
        <v>12112605</v>
      </c>
    </row>
    <row r="428" spans="18:18" x14ac:dyDescent="0.25">
      <c r="R428" s="592">
        <v>12113001</v>
      </c>
    </row>
    <row r="429" spans="18:18" x14ac:dyDescent="0.25">
      <c r="R429" s="592">
        <v>12113005</v>
      </c>
    </row>
    <row r="430" spans="18:18" x14ac:dyDescent="0.25">
      <c r="R430" s="592">
        <v>12113101</v>
      </c>
    </row>
    <row r="431" spans="18:18" x14ac:dyDescent="0.25">
      <c r="R431" s="592">
        <v>12113105</v>
      </c>
    </row>
    <row r="432" spans="18:18" x14ac:dyDescent="0.25">
      <c r="R432" s="592">
        <v>12113201</v>
      </c>
    </row>
    <row r="433" spans="18:18" x14ac:dyDescent="0.25">
      <c r="R433" s="592">
        <v>12113205</v>
      </c>
    </row>
    <row r="434" spans="18:18" x14ac:dyDescent="0.25">
      <c r="R434" s="592">
        <v>12113501</v>
      </c>
    </row>
    <row r="435" spans="18:18" x14ac:dyDescent="0.25">
      <c r="R435" s="592">
        <v>12113505</v>
      </c>
    </row>
    <row r="436" spans="18:18" x14ac:dyDescent="0.25">
      <c r="R436" s="592">
        <v>12113601</v>
      </c>
    </row>
    <row r="437" spans="18:18" x14ac:dyDescent="0.25">
      <c r="R437" s="592">
        <v>12113605</v>
      </c>
    </row>
    <row r="438" spans="18:18" x14ac:dyDescent="0.25">
      <c r="R438" s="592">
        <v>12114001</v>
      </c>
    </row>
    <row r="439" spans="18:18" x14ac:dyDescent="0.25">
      <c r="R439" s="592">
        <v>12114005</v>
      </c>
    </row>
    <row r="440" spans="18:18" x14ac:dyDescent="0.25">
      <c r="R440" s="592">
        <v>12114101</v>
      </c>
    </row>
    <row r="441" spans="18:18" x14ac:dyDescent="0.25">
      <c r="R441" s="592">
        <v>12114105</v>
      </c>
    </row>
    <row r="442" spans="18:18" x14ac:dyDescent="0.25">
      <c r="R442" s="592">
        <v>12114201</v>
      </c>
    </row>
    <row r="443" spans="18:18" x14ac:dyDescent="0.25">
      <c r="R443" s="592">
        <v>12114205</v>
      </c>
    </row>
    <row r="444" spans="18:18" x14ac:dyDescent="0.25">
      <c r="R444" s="592">
        <v>12115001</v>
      </c>
    </row>
    <row r="445" spans="18:18" x14ac:dyDescent="0.25">
      <c r="R445" s="592">
        <v>12115005</v>
      </c>
    </row>
    <row r="446" spans="18:18" x14ac:dyDescent="0.25">
      <c r="R446" s="592">
        <v>12115101</v>
      </c>
    </row>
    <row r="447" spans="18:18" x14ac:dyDescent="0.25">
      <c r="R447" s="592">
        <v>12115105</v>
      </c>
    </row>
    <row r="448" spans="18:18" x14ac:dyDescent="0.25">
      <c r="R448" s="592">
        <v>12115201</v>
      </c>
    </row>
    <row r="449" spans="18:18" x14ac:dyDescent="0.25">
      <c r="R449" s="592">
        <v>12115205</v>
      </c>
    </row>
    <row r="450" spans="18:18" x14ac:dyDescent="0.25">
      <c r="R450" s="592">
        <v>12201001</v>
      </c>
    </row>
    <row r="451" spans="18:18" x14ac:dyDescent="0.25">
      <c r="R451" s="592">
        <v>12201005</v>
      </c>
    </row>
    <row r="452" spans="18:18" x14ac:dyDescent="0.25">
      <c r="R452" s="592">
        <v>12201101</v>
      </c>
    </row>
    <row r="453" spans="18:18" x14ac:dyDescent="0.25">
      <c r="R453" s="592">
        <v>12201105</v>
      </c>
    </row>
    <row r="454" spans="18:18" x14ac:dyDescent="0.25">
      <c r="R454" s="592">
        <v>12201201</v>
      </c>
    </row>
    <row r="455" spans="18:18" x14ac:dyDescent="0.25">
      <c r="R455" s="592">
        <v>12201205</v>
      </c>
    </row>
    <row r="456" spans="18:18" x14ac:dyDescent="0.25">
      <c r="R456" s="592">
        <v>12201501</v>
      </c>
    </row>
    <row r="457" spans="18:18" x14ac:dyDescent="0.25">
      <c r="R457" s="592">
        <v>12201505</v>
      </c>
    </row>
    <row r="458" spans="18:18" x14ac:dyDescent="0.25">
      <c r="R458" s="592">
        <v>12201601</v>
      </c>
    </row>
    <row r="459" spans="18:18" x14ac:dyDescent="0.25">
      <c r="R459" s="592">
        <v>12201605</v>
      </c>
    </row>
    <row r="460" spans="18:18" x14ac:dyDescent="0.25">
      <c r="R460" s="592">
        <v>12202001</v>
      </c>
    </row>
    <row r="461" spans="18:18" x14ac:dyDescent="0.25">
      <c r="R461" s="592">
        <v>12202005</v>
      </c>
    </row>
    <row r="462" spans="18:18" x14ac:dyDescent="0.25">
      <c r="R462" s="592">
        <v>12202101</v>
      </c>
    </row>
    <row r="463" spans="18:18" x14ac:dyDescent="0.25">
      <c r="R463" s="592">
        <v>12202105</v>
      </c>
    </row>
    <row r="464" spans="18:18" x14ac:dyDescent="0.25">
      <c r="R464" s="592">
        <v>12202201</v>
      </c>
    </row>
    <row r="465" spans="18:18" x14ac:dyDescent="0.25">
      <c r="R465" s="592">
        <v>12202205</v>
      </c>
    </row>
    <row r="466" spans="18:18" x14ac:dyDescent="0.25">
      <c r="R466" s="592">
        <v>12202501</v>
      </c>
    </row>
    <row r="467" spans="18:18" x14ac:dyDescent="0.25">
      <c r="R467" s="592">
        <v>12202505</v>
      </c>
    </row>
    <row r="468" spans="18:18" x14ac:dyDescent="0.25">
      <c r="R468" s="592">
        <v>12202601</v>
      </c>
    </row>
    <row r="469" spans="18:18" x14ac:dyDescent="0.25">
      <c r="R469" s="592">
        <v>12202605</v>
      </c>
    </row>
    <row r="470" spans="18:18" x14ac:dyDescent="0.25">
      <c r="R470" s="592">
        <v>12203001</v>
      </c>
    </row>
    <row r="471" spans="18:18" x14ac:dyDescent="0.25">
      <c r="R471" s="592">
        <v>12203005</v>
      </c>
    </row>
    <row r="472" spans="18:18" x14ac:dyDescent="0.25">
      <c r="R472" s="592">
        <v>12203101</v>
      </c>
    </row>
    <row r="473" spans="18:18" x14ac:dyDescent="0.25">
      <c r="R473" s="592">
        <v>12203105</v>
      </c>
    </row>
    <row r="474" spans="18:18" x14ac:dyDescent="0.25">
      <c r="R474" s="592">
        <v>12203201</v>
      </c>
    </row>
    <row r="475" spans="18:18" x14ac:dyDescent="0.25">
      <c r="R475" s="592">
        <v>12203205</v>
      </c>
    </row>
    <row r="476" spans="18:18" x14ac:dyDescent="0.25">
      <c r="R476" s="592">
        <v>12203501</v>
      </c>
    </row>
    <row r="477" spans="18:18" x14ac:dyDescent="0.25">
      <c r="R477" s="592">
        <v>12203505</v>
      </c>
    </row>
    <row r="478" spans="18:18" x14ac:dyDescent="0.25">
      <c r="R478" s="592">
        <v>12203601</v>
      </c>
    </row>
    <row r="479" spans="18:18" x14ac:dyDescent="0.25">
      <c r="R479" s="592">
        <v>12203605</v>
      </c>
    </row>
    <row r="480" spans="18:18" x14ac:dyDescent="0.25">
      <c r="R480" s="592">
        <v>12204001</v>
      </c>
    </row>
    <row r="481" spans="18:18" x14ac:dyDescent="0.25">
      <c r="R481" s="592">
        <v>12204005</v>
      </c>
    </row>
    <row r="482" spans="18:18" x14ac:dyDescent="0.25">
      <c r="R482" s="592">
        <v>12204101</v>
      </c>
    </row>
    <row r="483" spans="18:18" x14ac:dyDescent="0.25">
      <c r="R483" s="592">
        <v>12204105</v>
      </c>
    </row>
    <row r="484" spans="18:18" x14ac:dyDescent="0.25">
      <c r="R484" s="592">
        <v>12204201</v>
      </c>
    </row>
    <row r="485" spans="18:18" x14ac:dyDescent="0.25">
      <c r="R485" s="592">
        <v>12204205</v>
      </c>
    </row>
    <row r="486" spans="18:18" x14ac:dyDescent="0.25">
      <c r="R486" s="592">
        <v>12205001</v>
      </c>
    </row>
    <row r="487" spans="18:18" x14ac:dyDescent="0.25">
      <c r="R487" s="592">
        <v>12205005</v>
      </c>
    </row>
    <row r="488" spans="18:18" x14ac:dyDescent="0.25">
      <c r="R488" s="592">
        <v>12205101</v>
      </c>
    </row>
    <row r="489" spans="18:18" x14ac:dyDescent="0.25">
      <c r="R489" s="592">
        <v>12205105</v>
      </c>
    </row>
    <row r="490" spans="18:18" x14ac:dyDescent="0.25">
      <c r="R490" s="592">
        <v>12205201</v>
      </c>
    </row>
    <row r="491" spans="18:18" x14ac:dyDescent="0.25">
      <c r="R491" s="592">
        <v>12205205</v>
      </c>
    </row>
    <row r="492" spans="18:18" x14ac:dyDescent="0.25">
      <c r="R492" s="592">
        <v>12211001</v>
      </c>
    </row>
    <row r="493" spans="18:18" x14ac:dyDescent="0.25">
      <c r="R493" s="592">
        <v>12211005</v>
      </c>
    </row>
    <row r="494" spans="18:18" x14ac:dyDescent="0.25">
      <c r="R494" s="592">
        <v>12211101</v>
      </c>
    </row>
    <row r="495" spans="18:18" x14ac:dyDescent="0.25">
      <c r="R495" s="592">
        <v>12211105</v>
      </c>
    </row>
    <row r="496" spans="18:18" x14ac:dyDescent="0.25">
      <c r="R496" s="592">
        <v>12211201</v>
      </c>
    </row>
    <row r="497" spans="18:18" x14ac:dyDescent="0.25">
      <c r="R497" s="592">
        <v>12211205</v>
      </c>
    </row>
    <row r="498" spans="18:18" x14ac:dyDescent="0.25">
      <c r="R498" s="592">
        <v>12211501</v>
      </c>
    </row>
    <row r="499" spans="18:18" x14ac:dyDescent="0.25">
      <c r="R499" s="592">
        <v>12211505</v>
      </c>
    </row>
    <row r="500" spans="18:18" x14ac:dyDescent="0.25">
      <c r="R500" s="592">
        <v>12211601</v>
      </c>
    </row>
    <row r="501" spans="18:18" x14ac:dyDescent="0.25">
      <c r="R501" s="592">
        <v>12211605</v>
      </c>
    </row>
    <row r="502" spans="18:18" x14ac:dyDescent="0.25">
      <c r="R502" s="592">
        <v>12212001</v>
      </c>
    </row>
    <row r="503" spans="18:18" x14ac:dyDescent="0.25">
      <c r="R503" s="592">
        <v>12212005</v>
      </c>
    </row>
    <row r="504" spans="18:18" x14ac:dyDescent="0.25">
      <c r="R504" s="592">
        <v>12212101</v>
      </c>
    </row>
    <row r="505" spans="18:18" x14ac:dyDescent="0.25">
      <c r="R505" s="592">
        <v>12212105</v>
      </c>
    </row>
    <row r="506" spans="18:18" x14ac:dyDescent="0.25">
      <c r="R506" s="592">
        <v>12212201</v>
      </c>
    </row>
    <row r="507" spans="18:18" x14ac:dyDescent="0.25">
      <c r="R507" s="592">
        <v>12212205</v>
      </c>
    </row>
    <row r="508" spans="18:18" x14ac:dyDescent="0.25">
      <c r="R508" s="592">
        <v>12212501</v>
      </c>
    </row>
    <row r="509" spans="18:18" x14ac:dyDescent="0.25">
      <c r="R509" s="592">
        <v>12212505</v>
      </c>
    </row>
    <row r="510" spans="18:18" x14ac:dyDescent="0.25">
      <c r="R510" s="592">
        <v>12212601</v>
      </c>
    </row>
    <row r="511" spans="18:18" x14ac:dyDescent="0.25">
      <c r="R511" s="592">
        <v>12212605</v>
      </c>
    </row>
    <row r="512" spans="18:18" x14ac:dyDescent="0.25">
      <c r="R512" s="592">
        <v>12213001</v>
      </c>
    </row>
    <row r="513" spans="18:18" x14ac:dyDescent="0.25">
      <c r="R513" s="592">
        <v>12213005</v>
      </c>
    </row>
    <row r="514" spans="18:18" x14ac:dyDescent="0.25">
      <c r="R514" s="592">
        <v>12213101</v>
      </c>
    </row>
    <row r="515" spans="18:18" x14ac:dyDescent="0.25">
      <c r="R515" s="592">
        <v>12213105</v>
      </c>
    </row>
    <row r="516" spans="18:18" x14ac:dyDescent="0.25">
      <c r="R516" s="592">
        <v>12213201</v>
      </c>
    </row>
    <row r="517" spans="18:18" x14ac:dyDescent="0.25">
      <c r="R517" s="592">
        <v>12213205</v>
      </c>
    </row>
    <row r="518" spans="18:18" x14ac:dyDescent="0.25">
      <c r="R518" s="592">
        <v>12213501</v>
      </c>
    </row>
    <row r="519" spans="18:18" x14ac:dyDescent="0.25">
      <c r="R519" s="592">
        <v>12213505</v>
      </c>
    </row>
    <row r="520" spans="18:18" x14ac:dyDescent="0.25">
      <c r="R520" s="592">
        <v>12213601</v>
      </c>
    </row>
    <row r="521" spans="18:18" x14ac:dyDescent="0.25">
      <c r="R521" s="592">
        <v>12213605</v>
      </c>
    </row>
    <row r="522" spans="18:18" x14ac:dyDescent="0.25">
      <c r="R522" s="592">
        <v>12214001</v>
      </c>
    </row>
    <row r="523" spans="18:18" x14ac:dyDescent="0.25">
      <c r="R523" s="592">
        <v>12214005</v>
      </c>
    </row>
    <row r="524" spans="18:18" x14ac:dyDescent="0.25">
      <c r="R524" s="592">
        <v>12214101</v>
      </c>
    </row>
    <row r="525" spans="18:18" x14ac:dyDescent="0.25">
      <c r="R525" s="592">
        <v>12214105</v>
      </c>
    </row>
    <row r="526" spans="18:18" x14ac:dyDescent="0.25">
      <c r="R526" s="592">
        <v>12214201</v>
      </c>
    </row>
    <row r="527" spans="18:18" x14ac:dyDescent="0.25">
      <c r="R527" s="592">
        <v>12214205</v>
      </c>
    </row>
    <row r="528" spans="18:18" x14ac:dyDescent="0.25">
      <c r="R528" s="592">
        <v>12215001</v>
      </c>
    </row>
    <row r="529" spans="18:18" x14ac:dyDescent="0.25">
      <c r="R529" s="592">
        <v>12215005</v>
      </c>
    </row>
    <row r="530" spans="18:18" x14ac:dyDescent="0.25">
      <c r="R530" s="592">
        <v>12215101</v>
      </c>
    </row>
    <row r="531" spans="18:18" x14ac:dyDescent="0.25">
      <c r="R531" s="592">
        <v>12215105</v>
      </c>
    </row>
    <row r="532" spans="18:18" x14ac:dyDescent="0.25">
      <c r="R532" s="592">
        <v>12215201</v>
      </c>
    </row>
    <row r="533" spans="18:18" x14ac:dyDescent="0.25">
      <c r="R533" s="592">
        <v>12215205</v>
      </c>
    </row>
    <row r="534" spans="18:18" x14ac:dyDescent="0.25">
      <c r="R534" s="592">
        <v>21001001</v>
      </c>
    </row>
    <row r="535" spans="18:18" x14ac:dyDescent="0.25">
      <c r="R535" s="592">
        <v>21001005</v>
      </c>
    </row>
    <row r="536" spans="18:18" x14ac:dyDescent="0.25">
      <c r="R536" s="592">
        <v>21001101</v>
      </c>
    </row>
    <row r="537" spans="18:18" x14ac:dyDescent="0.25">
      <c r="R537" s="592">
        <v>21001105</v>
      </c>
    </row>
    <row r="538" spans="18:18" x14ac:dyDescent="0.25">
      <c r="R538" s="592">
        <v>21001201</v>
      </c>
    </row>
    <row r="539" spans="18:18" x14ac:dyDescent="0.25">
      <c r="R539" s="592">
        <v>21001205</v>
      </c>
    </row>
    <row r="540" spans="18:18" x14ac:dyDescent="0.25">
      <c r="R540" s="592">
        <v>21001501</v>
      </c>
    </row>
    <row r="541" spans="18:18" x14ac:dyDescent="0.25">
      <c r="R541" s="592">
        <v>21001505</v>
      </c>
    </row>
    <row r="542" spans="18:18" x14ac:dyDescent="0.25">
      <c r="R542" s="592">
        <v>21001601</v>
      </c>
    </row>
    <row r="543" spans="18:18" x14ac:dyDescent="0.25">
      <c r="R543" s="592">
        <v>21001605</v>
      </c>
    </row>
    <row r="544" spans="18:18" x14ac:dyDescent="0.25">
      <c r="R544" s="592">
        <v>21002001</v>
      </c>
    </row>
    <row r="545" spans="18:18" x14ac:dyDescent="0.25">
      <c r="R545" s="592">
        <v>21002005</v>
      </c>
    </row>
    <row r="546" spans="18:18" x14ac:dyDescent="0.25">
      <c r="R546" s="592">
        <v>21002101</v>
      </c>
    </row>
    <row r="547" spans="18:18" x14ac:dyDescent="0.25">
      <c r="R547" s="592">
        <v>21002105</v>
      </c>
    </row>
    <row r="548" spans="18:18" x14ac:dyDescent="0.25">
      <c r="R548" s="592">
        <v>21002201</v>
      </c>
    </row>
    <row r="549" spans="18:18" x14ac:dyDescent="0.25">
      <c r="R549" s="592">
        <v>21002205</v>
      </c>
    </row>
    <row r="550" spans="18:18" x14ac:dyDescent="0.25">
      <c r="R550" s="592">
        <v>21002501</v>
      </c>
    </row>
    <row r="551" spans="18:18" x14ac:dyDescent="0.25">
      <c r="R551" s="592">
        <v>21002505</v>
      </c>
    </row>
    <row r="552" spans="18:18" x14ac:dyDescent="0.25">
      <c r="R552" s="592">
        <v>21002601</v>
      </c>
    </row>
    <row r="553" spans="18:18" x14ac:dyDescent="0.25">
      <c r="R553" s="592">
        <v>21002605</v>
      </c>
    </row>
    <row r="554" spans="18:18" x14ac:dyDescent="0.25">
      <c r="R554" s="592">
        <v>21003001</v>
      </c>
    </row>
    <row r="555" spans="18:18" x14ac:dyDescent="0.25">
      <c r="R555" s="592">
        <v>21003005</v>
      </c>
    </row>
    <row r="556" spans="18:18" x14ac:dyDescent="0.25">
      <c r="R556" s="592">
        <v>21003101</v>
      </c>
    </row>
    <row r="557" spans="18:18" x14ac:dyDescent="0.25">
      <c r="R557" s="592">
        <v>21003105</v>
      </c>
    </row>
    <row r="558" spans="18:18" x14ac:dyDescent="0.25">
      <c r="R558" s="592">
        <v>21003201</v>
      </c>
    </row>
    <row r="559" spans="18:18" x14ac:dyDescent="0.25">
      <c r="R559" s="592">
        <v>21003205</v>
      </c>
    </row>
    <row r="560" spans="18:18" x14ac:dyDescent="0.25">
      <c r="R560" s="592">
        <v>21003501</v>
      </c>
    </row>
    <row r="561" spans="18:18" x14ac:dyDescent="0.25">
      <c r="R561" s="592">
        <v>21003505</v>
      </c>
    </row>
    <row r="562" spans="18:18" x14ac:dyDescent="0.25">
      <c r="R562" s="592">
        <v>21003601</v>
      </c>
    </row>
    <row r="563" spans="18:18" x14ac:dyDescent="0.25">
      <c r="R563" s="592">
        <v>21003605</v>
      </c>
    </row>
    <row r="564" spans="18:18" x14ac:dyDescent="0.25">
      <c r="R564" s="592">
        <v>21004001</v>
      </c>
    </row>
    <row r="565" spans="18:18" x14ac:dyDescent="0.25">
      <c r="R565" s="592">
        <v>21004005</v>
      </c>
    </row>
    <row r="566" spans="18:18" x14ac:dyDescent="0.25">
      <c r="R566" s="592">
        <v>21004101</v>
      </c>
    </row>
    <row r="567" spans="18:18" x14ac:dyDescent="0.25">
      <c r="R567" s="592">
        <v>21004105</v>
      </c>
    </row>
    <row r="568" spans="18:18" x14ac:dyDescent="0.25">
      <c r="R568" s="592">
        <v>21004201</v>
      </c>
    </row>
    <row r="569" spans="18:18" x14ac:dyDescent="0.25">
      <c r="R569" s="592">
        <v>21004205</v>
      </c>
    </row>
    <row r="570" spans="18:18" x14ac:dyDescent="0.25">
      <c r="R570" s="592">
        <v>21005001</v>
      </c>
    </row>
    <row r="571" spans="18:18" x14ac:dyDescent="0.25">
      <c r="R571" s="592">
        <v>21005005</v>
      </c>
    </row>
    <row r="572" spans="18:18" x14ac:dyDescent="0.25">
      <c r="R572" s="592">
        <v>21005101</v>
      </c>
    </row>
    <row r="573" spans="18:18" x14ac:dyDescent="0.25">
      <c r="R573" s="592">
        <v>21005105</v>
      </c>
    </row>
    <row r="574" spans="18:18" x14ac:dyDescent="0.25">
      <c r="R574" s="592">
        <v>21005201</v>
      </c>
    </row>
    <row r="575" spans="18:18" x14ac:dyDescent="0.25">
      <c r="R575" s="592">
        <v>21005205</v>
      </c>
    </row>
    <row r="576" spans="18:18" x14ac:dyDescent="0.25">
      <c r="R576" s="592">
        <v>21011001</v>
      </c>
    </row>
    <row r="577" spans="18:18" x14ac:dyDescent="0.25">
      <c r="R577" s="592">
        <v>21011005</v>
      </c>
    </row>
    <row r="578" spans="18:18" x14ac:dyDescent="0.25">
      <c r="R578" s="592">
        <v>21011101</v>
      </c>
    </row>
    <row r="579" spans="18:18" x14ac:dyDescent="0.25">
      <c r="R579" s="592">
        <v>21011105</v>
      </c>
    </row>
    <row r="580" spans="18:18" x14ac:dyDescent="0.25">
      <c r="R580" s="592">
        <v>21011201</v>
      </c>
    </row>
    <row r="581" spans="18:18" x14ac:dyDescent="0.25">
      <c r="R581" s="592">
        <v>21011205</v>
      </c>
    </row>
    <row r="582" spans="18:18" x14ac:dyDescent="0.25">
      <c r="R582" s="592">
        <v>21011501</v>
      </c>
    </row>
    <row r="583" spans="18:18" x14ac:dyDescent="0.25">
      <c r="R583" s="592">
        <v>21011505</v>
      </c>
    </row>
    <row r="584" spans="18:18" x14ac:dyDescent="0.25">
      <c r="R584" s="592">
        <v>21011601</v>
      </c>
    </row>
    <row r="585" spans="18:18" x14ac:dyDescent="0.25">
      <c r="R585" s="592">
        <v>21011605</v>
      </c>
    </row>
    <row r="586" spans="18:18" x14ac:dyDescent="0.25">
      <c r="R586" s="592">
        <v>21012001</v>
      </c>
    </row>
    <row r="587" spans="18:18" x14ac:dyDescent="0.25">
      <c r="R587" s="592">
        <v>21012005</v>
      </c>
    </row>
    <row r="588" spans="18:18" x14ac:dyDescent="0.25">
      <c r="R588" s="592">
        <v>21012101</v>
      </c>
    </row>
    <row r="589" spans="18:18" x14ac:dyDescent="0.25">
      <c r="R589" s="592">
        <v>21012105</v>
      </c>
    </row>
    <row r="590" spans="18:18" x14ac:dyDescent="0.25">
      <c r="R590" s="592">
        <v>21012201</v>
      </c>
    </row>
    <row r="591" spans="18:18" x14ac:dyDescent="0.25">
      <c r="R591" s="592">
        <v>21012205</v>
      </c>
    </row>
    <row r="592" spans="18:18" x14ac:dyDescent="0.25">
      <c r="R592" s="592">
        <v>21012501</v>
      </c>
    </row>
    <row r="593" spans="18:18" x14ac:dyDescent="0.25">
      <c r="R593" s="592">
        <v>21012505</v>
      </c>
    </row>
    <row r="594" spans="18:18" x14ac:dyDescent="0.25">
      <c r="R594" s="592">
        <v>21012601</v>
      </c>
    </row>
    <row r="595" spans="18:18" x14ac:dyDescent="0.25">
      <c r="R595" s="592">
        <v>21012605</v>
      </c>
    </row>
    <row r="596" spans="18:18" x14ac:dyDescent="0.25">
      <c r="R596" s="592">
        <v>21013001</v>
      </c>
    </row>
    <row r="597" spans="18:18" x14ac:dyDescent="0.25">
      <c r="R597" s="592">
        <v>21013005</v>
      </c>
    </row>
    <row r="598" spans="18:18" x14ac:dyDescent="0.25">
      <c r="R598" s="592">
        <v>21013101</v>
      </c>
    </row>
    <row r="599" spans="18:18" x14ac:dyDescent="0.25">
      <c r="R599" s="592">
        <v>21013105</v>
      </c>
    </row>
    <row r="600" spans="18:18" x14ac:dyDescent="0.25">
      <c r="R600" s="592">
        <v>21013201</v>
      </c>
    </row>
    <row r="601" spans="18:18" x14ac:dyDescent="0.25">
      <c r="R601" s="592">
        <v>21013205</v>
      </c>
    </row>
    <row r="602" spans="18:18" x14ac:dyDescent="0.25">
      <c r="R602" s="592">
        <v>21013501</v>
      </c>
    </row>
    <row r="603" spans="18:18" x14ac:dyDescent="0.25">
      <c r="R603" s="592">
        <v>21013505</v>
      </c>
    </row>
    <row r="604" spans="18:18" x14ac:dyDescent="0.25">
      <c r="R604" s="592">
        <v>21013601</v>
      </c>
    </row>
    <row r="605" spans="18:18" x14ac:dyDescent="0.25">
      <c r="R605" s="592">
        <v>21013605</v>
      </c>
    </row>
    <row r="606" spans="18:18" x14ac:dyDescent="0.25">
      <c r="R606" s="592">
        <v>21014001</v>
      </c>
    </row>
    <row r="607" spans="18:18" x14ac:dyDescent="0.25">
      <c r="R607" s="592">
        <v>21014005</v>
      </c>
    </row>
    <row r="608" spans="18:18" x14ac:dyDescent="0.25">
      <c r="R608" s="592">
        <v>21014101</v>
      </c>
    </row>
    <row r="609" spans="18:18" x14ac:dyDescent="0.25">
      <c r="R609" s="592">
        <v>21014105</v>
      </c>
    </row>
    <row r="610" spans="18:18" x14ac:dyDescent="0.25">
      <c r="R610" s="592">
        <v>21014201</v>
      </c>
    </row>
    <row r="611" spans="18:18" x14ac:dyDescent="0.25">
      <c r="R611" s="592">
        <v>21014205</v>
      </c>
    </row>
    <row r="612" spans="18:18" x14ac:dyDescent="0.25">
      <c r="R612" s="592">
        <v>21015001</v>
      </c>
    </row>
    <row r="613" spans="18:18" x14ac:dyDescent="0.25">
      <c r="R613" s="592">
        <v>21015005</v>
      </c>
    </row>
    <row r="614" spans="18:18" x14ac:dyDescent="0.25">
      <c r="R614" s="592">
        <v>21015101</v>
      </c>
    </row>
    <row r="615" spans="18:18" x14ac:dyDescent="0.25">
      <c r="R615" s="592">
        <v>21015105</v>
      </c>
    </row>
    <row r="616" spans="18:18" x14ac:dyDescent="0.25">
      <c r="R616" s="592">
        <v>21015201</v>
      </c>
    </row>
    <row r="617" spans="18:18" x14ac:dyDescent="0.25">
      <c r="R617" s="592">
        <v>21015205</v>
      </c>
    </row>
    <row r="618" spans="18:18" x14ac:dyDescent="0.25">
      <c r="R618" s="592">
        <v>21021001</v>
      </c>
    </row>
    <row r="619" spans="18:18" x14ac:dyDescent="0.25">
      <c r="R619" s="592">
        <v>21021001</v>
      </c>
    </row>
    <row r="620" spans="18:18" x14ac:dyDescent="0.25">
      <c r="R620" s="592">
        <v>21021005</v>
      </c>
    </row>
    <row r="621" spans="18:18" x14ac:dyDescent="0.25">
      <c r="R621" s="592">
        <v>21021005</v>
      </c>
    </row>
    <row r="622" spans="18:18" x14ac:dyDescent="0.25">
      <c r="R622" s="592">
        <v>21021501</v>
      </c>
    </row>
    <row r="623" spans="18:18" x14ac:dyDescent="0.25">
      <c r="R623" s="592">
        <v>21021501</v>
      </c>
    </row>
    <row r="624" spans="18:18" x14ac:dyDescent="0.25">
      <c r="R624" s="592">
        <v>21021505</v>
      </c>
    </row>
    <row r="625" spans="18:18" x14ac:dyDescent="0.25">
      <c r="R625" s="592">
        <v>21021505</v>
      </c>
    </row>
    <row r="626" spans="18:18" x14ac:dyDescent="0.25">
      <c r="R626" s="592">
        <v>21021601</v>
      </c>
    </row>
    <row r="627" spans="18:18" x14ac:dyDescent="0.25">
      <c r="R627" s="592">
        <v>21021601</v>
      </c>
    </row>
    <row r="628" spans="18:18" x14ac:dyDescent="0.25">
      <c r="R628" s="592">
        <v>21021605</v>
      </c>
    </row>
    <row r="629" spans="18:18" x14ac:dyDescent="0.25">
      <c r="R629" s="592">
        <v>21021605</v>
      </c>
    </row>
    <row r="630" spans="18:18" x14ac:dyDescent="0.25">
      <c r="R630" s="592">
        <v>21022501</v>
      </c>
    </row>
    <row r="631" spans="18:18" x14ac:dyDescent="0.25">
      <c r="R631" s="592">
        <v>21022501</v>
      </c>
    </row>
    <row r="632" spans="18:18" x14ac:dyDescent="0.25">
      <c r="R632" s="592">
        <v>21022505</v>
      </c>
    </row>
    <row r="633" spans="18:18" x14ac:dyDescent="0.25">
      <c r="R633" s="592">
        <v>21022505</v>
      </c>
    </row>
    <row r="634" spans="18:18" x14ac:dyDescent="0.25">
      <c r="R634" s="592">
        <v>21022601</v>
      </c>
    </row>
    <row r="635" spans="18:18" x14ac:dyDescent="0.25">
      <c r="R635" s="592">
        <v>21022601</v>
      </c>
    </row>
    <row r="636" spans="18:18" x14ac:dyDescent="0.25">
      <c r="R636" s="592">
        <v>21022605</v>
      </c>
    </row>
    <row r="637" spans="18:18" x14ac:dyDescent="0.25">
      <c r="R637" s="592">
        <v>21022605</v>
      </c>
    </row>
    <row r="638" spans="18:18" x14ac:dyDescent="0.25">
      <c r="R638" s="592">
        <v>21023501</v>
      </c>
    </row>
    <row r="639" spans="18:18" x14ac:dyDescent="0.25">
      <c r="R639" s="592">
        <v>21023501</v>
      </c>
    </row>
    <row r="640" spans="18:18" x14ac:dyDescent="0.25">
      <c r="R640" s="592">
        <v>21023505</v>
      </c>
    </row>
    <row r="641" spans="18:18" x14ac:dyDescent="0.25">
      <c r="R641" s="592">
        <v>21023505</v>
      </c>
    </row>
    <row r="642" spans="18:18" x14ac:dyDescent="0.25">
      <c r="R642" s="592">
        <v>21023601</v>
      </c>
    </row>
    <row r="643" spans="18:18" x14ac:dyDescent="0.25">
      <c r="R643" s="592">
        <v>21023601</v>
      </c>
    </row>
    <row r="644" spans="18:18" x14ac:dyDescent="0.25">
      <c r="R644" s="592">
        <v>21023605</v>
      </c>
    </row>
    <row r="645" spans="18:18" x14ac:dyDescent="0.25">
      <c r="R645" s="592">
        <v>21023605</v>
      </c>
    </row>
    <row r="646" spans="18:18" x14ac:dyDescent="0.25">
      <c r="R646" s="592">
        <v>21101001</v>
      </c>
    </row>
    <row r="647" spans="18:18" x14ac:dyDescent="0.25">
      <c r="R647" s="592">
        <v>21101005</v>
      </c>
    </row>
    <row r="648" spans="18:18" x14ac:dyDescent="0.25">
      <c r="R648" s="592">
        <v>21101101</v>
      </c>
    </row>
    <row r="649" spans="18:18" x14ac:dyDescent="0.25">
      <c r="R649" s="592">
        <v>21101105</v>
      </c>
    </row>
    <row r="650" spans="18:18" x14ac:dyDescent="0.25">
      <c r="R650" s="592">
        <v>21101201</v>
      </c>
    </row>
    <row r="651" spans="18:18" x14ac:dyDescent="0.25">
      <c r="R651" s="592">
        <v>21101205</v>
      </c>
    </row>
    <row r="652" spans="18:18" x14ac:dyDescent="0.25">
      <c r="R652" s="592">
        <v>21101501</v>
      </c>
    </row>
    <row r="653" spans="18:18" x14ac:dyDescent="0.25">
      <c r="R653" s="592">
        <v>21101505</v>
      </c>
    </row>
    <row r="654" spans="18:18" x14ac:dyDescent="0.25">
      <c r="R654" s="592">
        <v>21101601</v>
      </c>
    </row>
    <row r="655" spans="18:18" x14ac:dyDescent="0.25">
      <c r="R655" s="592">
        <v>21101605</v>
      </c>
    </row>
    <row r="656" spans="18:18" x14ac:dyDescent="0.25">
      <c r="R656" s="592">
        <v>21102001</v>
      </c>
    </row>
    <row r="657" spans="18:18" x14ac:dyDescent="0.25">
      <c r="R657" s="592">
        <v>21102005</v>
      </c>
    </row>
    <row r="658" spans="18:18" x14ac:dyDescent="0.25">
      <c r="R658" s="592">
        <v>21102101</v>
      </c>
    </row>
    <row r="659" spans="18:18" x14ac:dyDescent="0.25">
      <c r="R659" s="592">
        <v>21102105</v>
      </c>
    </row>
    <row r="660" spans="18:18" x14ac:dyDescent="0.25">
      <c r="R660" s="592">
        <v>21102201</v>
      </c>
    </row>
    <row r="661" spans="18:18" x14ac:dyDescent="0.25">
      <c r="R661" s="592">
        <v>21102205</v>
      </c>
    </row>
    <row r="662" spans="18:18" x14ac:dyDescent="0.25">
      <c r="R662" s="592">
        <v>21102501</v>
      </c>
    </row>
    <row r="663" spans="18:18" x14ac:dyDescent="0.25">
      <c r="R663" s="592">
        <v>21102505</v>
      </c>
    </row>
    <row r="664" spans="18:18" x14ac:dyDescent="0.25">
      <c r="R664" s="592">
        <v>21102601</v>
      </c>
    </row>
    <row r="665" spans="18:18" x14ac:dyDescent="0.25">
      <c r="R665" s="592">
        <v>21102605</v>
      </c>
    </row>
    <row r="666" spans="18:18" x14ac:dyDescent="0.25">
      <c r="R666" s="592">
        <v>21103001</v>
      </c>
    </row>
    <row r="667" spans="18:18" x14ac:dyDescent="0.25">
      <c r="R667" s="592">
        <v>21103005</v>
      </c>
    </row>
    <row r="668" spans="18:18" x14ac:dyDescent="0.25">
      <c r="R668" s="592">
        <v>21103101</v>
      </c>
    </row>
    <row r="669" spans="18:18" x14ac:dyDescent="0.25">
      <c r="R669" s="592">
        <v>21103105</v>
      </c>
    </row>
    <row r="670" spans="18:18" x14ac:dyDescent="0.25">
      <c r="R670" s="592">
        <v>21103201</v>
      </c>
    </row>
    <row r="671" spans="18:18" x14ac:dyDescent="0.25">
      <c r="R671" s="592">
        <v>21103205</v>
      </c>
    </row>
    <row r="672" spans="18:18" x14ac:dyDescent="0.25">
      <c r="R672" s="592">
        <v>21103501</v>
      </c>
    </row>
    <row r="673" spans="18:18" x14ac:dyDescent="0.25">
      <c r="R673" s="592">
        <v>21103505</v>
      </c>
    </row>
    <row r="674" spans="18:18" x14ac:dyDescent="0.25">
      <c r="R674" s="592">
        <v>21103601</v>
      </c>
    </row>
    <row r="675" spans="18:18" x14ac:dyDescent="0.25">
      <c r="R675" s="592">
        <v>21103605</v>
      </c>
    </row>
    <row r="676" spans="18:18" x14ac:dyDescent="0.25">
      <c r="R676" s="592">
        <v>21104001</v>
      </c>
    </row>
    <row r="677" spans="18:18" x14ac:dyDescent="0.25">
      <c r="R677" s="592">
        <v>21104005</v>
      </c>
    </row>
    <row r="678" spans="18:18" x14ac:dyDescent="0.25">
      <c r="R678" s="592">
        <v>21104101</v>
      </c>
    </row>
    <row r="679" spans="18:18" x14ac:dyDescent="0.25">
      <c r="R679" s="592">
        <v>21104105</v>
      </c>
    </row>
    <row r="680" spans="18:18" x14ac:dyDescent="0.25">
      <c r="R680" s="592">
        <v>21104201</v>
      </c>
    </row>
    <row r="681" spans="18:18" x14ac:dyDescent="0.25">
      <c r="R681" s="592">
        <v>21104205</v>
      </c>
    </row>
    <row r="682" spans="18:18" x14ac:dyDescent="0.25">
      <c r="R682" s="592">
        <v>21105001</v>
      </c>
    </row>
    <row r="683" spans="18:18" x14ac:dyDescent="0.25">
      <c r="R683" s="592">
        <v>21105005</v>
      </c>
    </row>
    <row r="684" spans="18:18" x14ac:dyDescent="0.25">
      <c r="R684" s="592">
        <v>21105101</v>
      </c>
    </row>
    <row r="685" spans="18:18" x14ac:dyDescent="0.25">
      <c r="R685" s="592">
        <v>21105105</v>
      </c>
    </row>
    <row r="686" spans="18:18" x14ac:dyDescent="0.25">
      <c r="R686" s="592">
        <v>21105201</v>
      </c>
    </row>
    <row r="687" spans="18:18" x14ac:dyDescent="0.25">
      <c r="R687" s="592">
        <v>21105205</v>
      </c>
    </row>
    <row r="688" spans="18:18" x14ac:dyDescent="0.25">
      <c r="R688" s="592">
        <v>21111001</v>
      </c>
    </row>
    <row r="689" spans="18:18" x14ac:dyDescent="0.25">
      <c r="R689" s="592">
        <v>21111005</v>
      </c>
    </row>
    <row r="690" spans="18:18" x14ac:dyDescent="0.25">
      <c r="R690" s="592">
        <v>21111101</v>
      </c>
    </row>
    <row r="691" spans="18:18" x14ac:dyDescent="0.25">
      <c r="R691" s="592">
        <v>21111105</v>
      </c>
    </row>
    <row r="692" spans="18:18" x14ac:dyDescent="0.25">
      <c r="R692" s="592">
        <v>21111201</v>
      </c>
    </row>
    <row r="693" spans="18:18" x14ac:dyDescent="0.25">
      <c r="R693" s="592">
        <v>21111205</v>
      </c>
    </row>
    <row r="694" spans="18:18" x14ac:dyDescent="0.25">
      <c r="R694" s="592">
        <v>21111501</v>
      </c>
    </row>
    <row r="695" spans="18:18" x14ac:dyDescent="0.25">
      <c r="R695" s="592">
        <v>21111505</v>
      </c>
    </row>
    <row r="696" spans="18:18" x14ac:dyDescent="0.25">
      <c r="R696" s="592">
        <v>21111601</v>
      </c>
    </row>
    <row r="697" spans="18:18" x14ac:dyDescent="0.25">
      <c r="R697" s="592">
        <v>21111605</v>
      </c>
    </row>
    <row r="698" spans="18:18" x14ac:dyDescent="0.25">
      <c r="R698" s="592">
        <v>21112001</v>
      </c>
    </row>
    <row r="699" spans="18:18" x14ac:dyDescent="0.25">
      <c r="R699" s="592">
        <v>21112005</v>
      </c>
    </row>
    <row r="700" spans="18:18" x14ac:dyDescent="0.25">
      <c r="R700" s="592">
        <v>21112101</v>
      </c>
    </row>
    <row r="701" spans="18:18" x14ac:dyDescent="0.25">
      <c r="R701" s="592">
        <v>21112105</v>
      </c>
    </row>
    <row r="702" spans="18:18" x14ac:dyDescent="0.25">
      <c r="R702" s="592">
        <v>21112201</v>
      </c>
    </row>
    <row r="703" spans="18:18" x14ac:dyDescent="0.25">
      <c r="R703" s="592">
        <v>21112205</v>
      </c>
    </row>
    <row r="704" spans="18:18" x14ac:dyDescent="0.25">
      <c r="R704" s="592">
        <v>21112501</v>
      </c>
    </row>
    <row r="705" spans="18:18" x14ac:dyDescent="0.25">
      <c r="R705" s="592">
        <v>21112505</v>
      </c>
    </row>
    <row r="706" spans="18:18" x14ac:dyDescent="0.25">
      <c r="R706" s="592">
        <v>21112601</v>
      </c>
    </row>
    <row r="707" spans="18:18" x14ac:dyDescent="0.25">
      <c r="R707" s="592">
        <v>21112605</v>
      </c>
    </row>
    <row r="708" spans="18:18" x14ac:dyDescent="0.25">
      <c r="R708" s="592">
        <v>21113001</v>
      </c>
    </row>
    <row r="709" spans="18:18" x14ac:dyDescent="0.25">
      <c r="R709" s="592">
        <v>21113005</v>
      </c>
    </row>
    <row r="710" spans="18:18" x14ac:dyDescent="0.25">
      <c r="R710" s="592">
        <v>21113101</v>
      </c>
    </row>
    <row r="711" spans="18:18" x14ac:dyDescent="0.25">
      <c r="R711" s="592">
        <v>21113105</v>
      </c>
    </row>
    <row r="712" spans="18:18" x14ac:dyDescent="0.25">
      <c r="R712" s="592">
        <v>21113201</v>
      </c>
    </row>
    <row r="713" spans="18:18" x14ac:dyDescent="0.25">
      <c r="R713" s="592">
        <v>21113205</v>
      </c>
    </row>
    <row r="714" spans="18:18" x14ac:dyDescent="0.25">
      <c r="R714" s="592">
        <v>21113501</v>
      </c>
    </row>
    <row r="715" spans="18:18" x14ac:dyDescent="0.25">
      <c r="R715" s="592">
        <v>21113505</v>
      </c>
    </row>
    <row r="716" spans="18:18" x14ac:dyDescent="0.25">
      <c r="R716" s="592">
        <v>21113601</v>
      </c>
    </row>
    <row r="717" spans="18:18" x14ac:dyDescent="0.25">
      <c r="R717" s="592">
        <v>21113605</v>
      </c>
    </row>
    <row r="718" spans="18:18" x14ac:dyDescent="0.25">
      <c r="R718" s="592">
        <v>21114001</v>
      </c>
    </row>
    <row r="719" spans="18:18" x14ac:dyDescent="0.25">
      <c r="R719" s="592">
        <v>21114005</v>
      </c>
    </row>
    <row r="720" spans="18:18" x14ac:dyDescent="0.25">
      <c r="R720" s="592">
        <v>21114101</v>
      </c>
    </row>
    <row r="721" spans="18:18" x14ac:dyDescent="0.25">
      <c r="R721" s="592">
        <v>21114105</v>
      </c>
    </row>
    <row r="722" spans="18:18" x14ac:dyDescent="0.25">
      <c r="R722" s="592">
        <v>21114201</v>
      </c>
    </row>
    <row r="723" spans="18:18" x14ac:dyDescent="0.25">
      <c r="R723" s="592">
        <v>21114205</v>
      </c>
    </row>
    <row r="724" spans="18:18" x14ac:dyDescent="0.25">
      <c r="R724" s="592">
        <v>21115001</v>
      </c>
    </row>
    <row r="725" spans="18:18" x14ac:dyDescent="0.25">
      <c r="R725" s="592">
        <v>21115005</v>
      </c>
    </row>
    <row r="726" spans="18:18" x14ac:dyDescent="0.25">
      <c r="R726" s="592">
        <v>21115101</v>
      </c>
    </row>
    <row r="727" spans="18:18" x14ac:dyDescent="0.25">
      <c r="R727" s="592">
        <v>21115105</v>
      </c>
    </row>
    <row r="728" spans="18:18" x14ac:dyDescent="0.25">
      <c r="R728" s="592">
        <v>21115201</v>
      </c>
    </row>
    <row r="729" spans="18:18" x14ac:dyDescent="0.25">
      <c r="R729" s="592">
        <v>21115205</v>
      </c>
    </row>
    <row r="730" spans="18:18" x14ac:dyDescent="0.25">
      <c r="R730" s="592">
        <v>21201001</v>
      </c>
    </row>
    <row r="731" spans="18:18" x14ac:dyDescent="0.25">
      <c r="R731" s="592">
        <v>21201005</v>
      </c>
    </row>
    <row r="732" spans="18:18" x14ac:dyDescent="0.25">
      <c r="R732" s="592">
        <v>21201101</v>
      </c>
    </row>
    <row r="733" spans="18:18" x14ac:dyDescent="0.25">
      <c r="R733" s="592">
        <v>21201105</v>
      </c>
    </row>
    <row r="734" spans="18:18" x14ac:dyDescent="0.25">
      <c r="R734" s="592">
        <v>21201201</v>
      </c>
    </row>
    <row r="735" spans="18:18" x14ac:dyDescent="0.25">
      <c r="R735" s="592">
        <v>21201205</v>
      </c>
    </row>
    <row r="736" spans="18:18" x14ac:dyDescent="0.25">
      <c r="R736" s="592">
        <v>21201501</v>
      </c>
    </row>
    <row r="737" spans="18:18" x14ac:dyDescent="0.25">
      <c r="R737" s="592">
        <v>21201505</v>
      </c>
    </row>
    <row r="738" spans="18:18" x14ac:dyDescent="0.25">
      <c r="R738" s="592">
        <v>21201601</v>
      </c>
    </row>
    <row r="739" spans="18:18" x14ac:dyDescent="0.25">
      <c r="R739" s="592">
        <v>21201605</v>
      </c>
    </row>
    <row r="740" spans="18:18" x14ac:dyDescent="0.25">
      <c r="R740" s="592">
        <v>21202001</v>
      </c>
    </row>
    <row r="741" spans="18:18" x14ac:dyDescent="0.25">
      <c r="R741" s="592">
        <v>21202005</v>
      </c>
    </row>
    <row r="742" spans="18:18" x14ac:dyDescent="0.25">
      <c r="R742" s="592">
        <v>21202101</v>
      </c>
    </row>
    <row r="743" spans="18:18" x14ac:dyDescent="0.25">
      <c r="R743" s="592">
        <v>21202105</v>
      </c>
    </row>
    <row r="744" spans="18:18" x14ac:dyDescent="0.25">
      <c r="R744" s="592">
        <v>21202201</v>
      </c>
    </row>
    <row r="745" spans="18:18" x14ac:dyDescent="0.25">
      <c r="R745" s="592">
        <v>21202205</v>
      </c>
    </row>
    <row r="746" spans="18:18" x14ac:dyDescent="0.25">
      <c r="R746" s="592">
        <v>21202501</v>
      </c>
    </row>
    <row r="747" spans="18:18" x14ac:dyDescent="0.25">
      <c r="R747" s="592">
        <v>21202505</v>
      </c>
    </row>
    <row r="748" spans="18:18" x14ac:dyDescent="0.25">
      <c r="R748" s="592">
        <v>21202601</v>
      </c>
    </row>
    <row r="749" spans="18:18" x14ac:dyDescent="0.25">
      <c r="R749" s="592">
        <v>21202605</v>
      </c>
    </row>
    <row r="750" spans="18:18" x14ac:dyDescent="0.25">
      <c r="R750" s="592">
        <v>21203001</v>
      </c>
    </row>
    <row r="751" spans="18:18" x14ac:dyDescent="0.25">
      <c r="R751" s="592">
        <v>21203005</v>
      </c>
    </row>
    <row r="752" spans="18:18" x14ac:dyDescent="0.25">
      <c r="R752" s="592">
        <v>21203101</v>
      </c>
    </row>
    <row r="753" spans="18:18" x14ac:dyDescent="0.25">
      <c r="R753" s="592">
        <v>21203105</v>
      </c>
    </row>
    <row r="754" spans="18:18" x14ac:dyDescent="0.25">
      <c r="R754" s="592">
        <v>21203201</v>
      </c>
    </row>
    <row r="755" spans="18:18" x14ac:dyDescent="0.25">
      <c r="R755" s="592">
        <v>21203205</v>
      </c>
    </row>
    <row r="756" spans="18:18" x14ac:dyDescent="0.25">
      <c r="R756" s="592">
        <v>21203501</v>
      </c>
    </row>
    <row r="757" spans="18:18" x14ac:dyDescent="0.25">
      <c r="R757" s="592">
        <v>21203505</v>
      </c>
    </row>
    <row r="758" spans="18:18" x14ac:dyDescent="0.25">
      <c r="R758" s="592">
        <v>21203601</v>
      </c>
    </row>
    <row r="759" spans="18:18" x14ac:dyDescent="0.25">
      <c r="R759" s="592">
        <v>21203605</v>
      </c>
    </row>
    <row r="760" spans="18:18" x14ac:dyDescent="0.25">
      <c r="R760" s="592">
        <v>21204001</v>
      </c>
    </row>
    <row r="761" spans="18:18" x14ac:dyDescent="0.25">
      <c r="R761" s="592">
        <v>21204005</v>
      </c>
    </row>
    <row r="762" spans="18:18" x14ac:dyDescent="0.25">
      <c r="R762" s="592">
        <v>21204101</v>
      </c>
    </row>
    <row r="763" spans="18:18" x14ac:dyDescent="0.25">
      <c r="R763" s="592">
        <v>21204105</v>
      </c>
    </row>
    <row r="764" spans="18:18" x14ac:dyDescent="0.25">
      <c r="R764" s="592">
        <v>21204201</v>
      </c>
    </row>
    <row r="765" spans="18:18" x14ac:dyDescent="0.25">
      <c r="R765" s="592">
        <v>21204205</v>
      </c>
    </row>
    <row r="766" spans="18:18" x14ac:dyDescent="0.25">
      <c r="R766" s="592">
        <v>21205001</v>
      </c>
    </row>
    <row r="767" spans="18:18" x14ac:dyDescent="0.25">
      <c r="R767" s="592">
        <v>21205005</v>
      </c>
    </row>
    <row r="768" spans="18:18" x14ac:dyDescent="0.25">
      <c r="R768" s="592">
        <v>21205101</v>
      </c>
    </row>
    <row r="769" spans="18:18" x14ac:dyDescent="0.25">
      <c r="R769" s="592">
        <v>21205105</v>
      </c>
    </row>
    <row r="770" spans="18:18" x14ac:dyDescent="0.25">
      <c r="R770" s="592">
        <v>21205201</v>
      </c>
    </row>
    <row r="771" spans="18:18" x14ac:dyDescent="0.25">
      <c r="R771" s="592">
        <v>21205205</v>
      </c>
    </row>
    <row r="772" spans="18:18" x14ac:dyDescent="0.25">
      <c r="R772" s="592">
        <v>21211001</v>
      </c>
    </row>
    <row r="773" spans="18:18" x14ac:dyDescent="0.25">
      <c r="R773" s="592">
        <v>21211005</v>
      </c>
    </row>
    <row r="774" spans="18:18" x14ac:dyDescent="0.25">
      <c r="R774" s="592">
        <v>21211101</v>
      </c>
    </row>
    <row r="775" spans="18:18" x14ac:dyDescent="0.25">
      <c r="R775" s="592">
        <v>21211105</v>
      </c>
    </row>
    <row r="776" spans="18:18" x14ac:dyDescent="0.25">
      <c r="R776" s="592">
        <v>21211201</v>
      </c>
    </row>
    <row r="777" spans="18:18" x14ac:dyDescent="0.25">
      <c r="R777" s="592">
        <v>21211205</v>
      </c>
    </row>
    <row r="778" spans="18:18" x14ac:dyDescent="0.25">
      <c r="R778" s="592">
        <v>21211501</v>
      </c>
    </row>
    <row r="779" spans="18:18" x14ac:dyDescent="0.25">
      <c r="R779" s="592">
        <v>21211505</v>
      </c>
    </row>
    <row r="780" spans="18:18" x14ac:dyDescent="0.25">
      <c r="R780" s="592">
        <v>21211601</v>
      </c>
    </row>
    <row r="781" spans="18:18" x14ac:dyDescent="0.25">
      <c r="R781" s="592">
        <v>21211605</v>
      </c>
    </row>
    <row r="782" spans="18:18" x14ac:dyDescent="0.25">
      <c r="R782" s="592">
        <v>21212001</v>
      </c>
    </row>
    <row r="783" spans="18:18" x14ac:dyDescent="0.25">
      <c r="R783" s="592">
        <v>21212005</v>
      </c>
    </row>
    <row r="784" spans="18:18" x14ac:dyDescent="0.25">
      <c r="R784" s="592">
        <v>21212101</v>
      </c>
    </row>
    <row r="785" spans="18:18" x14ac:dyDescent="0.25">
      <c r="R785" s="592">
        <v>21212105</v>
      </c>
    </row>
    <row r="786" spans="18:18" x14ac:dyDescent="0.25">
      <c r="R786" s="592">
        <v>21212201</v>
      </c>
    </row>
    <row r="787" spans="18:18" x14ac:dyDescent="0.25">
      <c r="R787" s="592">
        <v>21212205</v>
      </c>
    </row>
    <row r="788" spans="18:18" x14ac:dyDescent="0.25">
      <c r="R788" s="592">
        <v>21212501</v>
      </c>
    </row>
    <row r="789" spans="18:18" x14ac:dyDescent="0.25">
      <c r="R789" s="592">
        <v>21212505</v>
      </c>
    </row>
    <row r="790" spans="18:18" x14ac:dyDescent="0.25">
      <c r="R790" s="592">
        <v>21212601</v>
      </c>
    </row>
    <row r="791" spans="18:18" x14ac:dyDescent="0.25">
      <c r="R791" s="592">
        <v>21212605</v>
      </c>
    </row>
    <row r="792" spans="18:18" x14ac:dyDescent="0.25">
      <c r="R792" s="592">
        <v>21213001</v>
      </c>
    </row>
    <row r="793" spans="18:18" x14ac:dyDescent="0.25">
      <c r="R793" s="592">
        <v>21213005</v>
      </c>
    </row>
    <row r="794" spans="18:18" x14ac:dyDescent="0.25">
      <c r="R794" s="592">
        <v>21213101</v>
      </c>
    </row>
    <row r="795" spans="18:18" x14ac:dyDescent="0.25">
      <c r="R795" s="592">
        <v>21213105</v>
      </c>
    </row>
    <row r="796" spans="18:18" x14ac:dyDescent="0.25">
      <c r="R796" s="592">
        <v>21213201</v>
      </c>
    </row>
    <row r="797" spans="18:18" x14ac:dyDescent="0.25">
      <c r="R797" s="592">
        <v>21213205</v>
      </c>
    </row>
    <row r="798" spans="18:18" x14ac:dyDescent="0.25">
      <c r="R798" s="592">
        <v>21213501</v>
      </c>
    </row>
    <row r="799" spans="18:18" x14ac:dyDescent="0.25">
      <c r="R799" s="592">
        <v>21213505</v>
      </c>
    </row>
    <row r="800" spans="18:18" x14ac:dyDescent="0.25">
      <c r="R800" s="592">
        <v>21213601</v>
      </c>
    </row>
    <row r="801" spans="18:18" x14ac:dyDescent="0.25">
      <c r="R801" s="592">
        <v>21213605</v>
      </c>
    </row>
    <row r="802" spans="18:18" x14ac:dyDescent="0.25">
      <c r="R802" s="592">
        <v>21214001</v>
      </c>
    </row>
    <row r="803" spans="18:18" x14ac:dyDescent="0.25">
      <c r="R803" s="592">
        <v>21214005</v>
      </c>
    </row>
    <row r="804" spans="18:18" x14ac:dyDescent="0.25">
      <c r="R804" s="592">
        <v>21214101</v>
      </c>
    </row>
    <row r="805" spans="18:18" x14ac:dyDescent="0.25">
      <c r="R805" s="592">
        <v>21214105</v>
      </c>
    </row>
    <row r="806" spans="18:18" x14ac:dyDescent="0.25">
      <c r="R806" s="592">
        <v>21214201</v>
      </c>
    </row>
    <row r="807" spans="18:18" x14ac:dyDescent="0.25">
      <c r="R807" s="592">
        <v>21214205</v>
      </c>
    </row>
    <row r="808" spans="18:18" x14ac:dyDescent="0.25">
      <c r="R808" s="592">
        <v>21215001</v>
      </c>
    </row>
    <row r="809" spans="18:18" x14ac:dyDescent="0.25">
      <c r="R809" s="592">
        <v>21215005</v>
      </c>
    </row>
    <row r="810" spans="18:18" x14ac:dyDescent="0.25">
      <c r="R810" s="592">
        <v>21215101</v>
      </c>
    </row>
    <row r="811" spans="18:18" x14ac:dyDescent="0.25">
      <c r="R811" s="592">
        <v>21215105</v>
      </c>
    </row>
    <row r="812" spans="18:18" x14ac:dyDescent="0.25">
      <c r="R812" s="592">
        <v>21215201</v>
      </c>
    </row>
    <row r="813" spans="18:18" x14ac:dyDescent="0.25">
      <c r="R813" s="592">
        <v>21215205</v>
      </c>
    </row>
    <row r="814" spans="18:18" x14ac:dyDescent="0.25">
      <c r="R814" s="592">
        <v>22001001</v>
      </c>
    </row>
    <row r="815" spans="18:18" x14ac:dyDescent="0.25">
      <c r="R815" s="592">
        <v>22001005</v>
      </c>
    </row>
    <row r="816" spans="18:18" x14ac:dyDescent="0.25">
      <c r="R816" s="592">
        <v>22001101</v>
      </c>
    </row>
    <row r="817" spans="18:18" x14ac:dyDescent="0.25">
      <c r="R817" s="592">
        <v>22001105</v>
      </c>
    </row>
    <row r="818" spans="18:18" x14ac:dyDescent="0.25">
      <c r="R818" s="592">
        <v>22001201</v>
      </c>
    </row>
    <row r="819" spans="18:18" x14ac:dyDescent="0.25">
      <c r="R819" s="592">
        <v>22001205</v>
      </c>
    </row>
    <row r="820" spans="18:18" x14ac:dyDescent="0.25">
      <c r="R820" s="592">
        <v>22001501</v>
      </c>
    </row>
    <row r="821" spans="18:18" x14ac:dyDescent="0.25">
      <c r="R821" s="592">
        <v>22001505</v>
      </c>
    </row>
    <row r="822" spans="18:18" x14ac:dyDescent="0.25">
      <c r="R822" s="592">
        <v>22001601</v>
      </c>
    </row>
    <row r="823" spans="18:18" x14ac:dyDescent="0.25">
      <c r="R823" s="592">
        <v>22001605</v>
      </c>
    </row>
    <row r="824" spans="18:18" x14ac:dyDescent="0.25">
      <c r="R824" s="592">
        <v>22002001</v>
      </c>
    </row>
    <row r="825" spans="18:18" x14ac:dyDescent="0.25">
      <c r="R825" s="592">
        <v>22002005</v>
      </c>
    </row>
    <row r="826" spans="18:18" x14ac:dyDescent="0.25">
      <c r="R826" s="592">
        <v>22002101</v>
      </c>
    </row>
    <row r="827" spans="18:18" x14ac:dyDescent="0.25">
      <c r="R827" s="592">
        <v>22002105</v>
      </c>
    </row>
    <row r="828" spans="18:18" x14ac:dyDescent="0.25">
      <c r="R828" s="592">
        <v>22002201</v>
      </c>
    </row>
    <row r="829" spans="18:18" x14ac:dyDescent="0.25">
      <c r="R829" s="592">
        <v>22002205</v>
      </c>
    </row>
    <row r="830" spans="18:18" x14ac:dyDescent="0.25">
      <c r="R830" s="592">
        <v>22002501</v>
      </c>
    </row>
    <row r="831" spans="18:18" x14ac:dyDescent="0.25">
      <c r="R831" s="592">
        <v>22002505</v>
      </c>
    </row>
    <row r="832" spans="18:18" x14ac:dyDescent="0.25">
      <c r="R832" s="592">
        <v>22002601</v>
      </c>
    </row>
    <row r="833" spans="18:18" x14ac:dyDescent="0.25">
      <c r="R833" s="592">
        <v>22002605</v>
      </c>
    </row>
    <row r="834" spans="18:18" x14ac:dyDescent="0.25">
      <c r="R834" s="592">
        <v>22003001</v>
      </c>
    </row>
    <row r="835" spans="18:18" x14ac:dyDescent="0.25">
      <c r="R835" s="592">
        <v>22003005</v>
      </c>
    </row>
    <row r="836" spans="18:18" x14ac:dyDescent="0.25">
      <c r="R836" s="592">
        <v>22003101</v>
      </c>
    </row>
    <row r="837" spans="18:18" x14ac:dyDescent="0.25">
      <c r="R837" s="592">
        <v>22003105</v>
      </c>
    </row>
    <row r="838" spans="18:18" x14ac:dyDescent="0.25">
      <c r="R838" s="592">
        <v>22003201</v>
      </c>
    </row>
    <row r="839" spans="18:18" x14ac:dyDescent="0.25">
      <c r="R839" s="592">
        <v>22003205</v>
      </c>
    </row>
    <row r="840" spans="18:18" x14ac:dyDescent="0.25">
      <c r="R840" s="592">
        <v>22003501</v>
      </c>
    </row>
    <row r="841" spans="18:18" x14ac:dyDescent="0.25">
      <c r="R841" s="592">
        <v>22003505</v>
      </c>
    </row>
    <row r="842" spans="18:18" x14ac:dyDescent="0.25">
      <c r="R842" s="592">
        <v>22003601</v>
      </c>
    </row>
    <row r="843" spans="18:18" x14ac:dyDescent="0.25">
      <c r="R843" s="592">
        <v>22003605</v>
      </c>
    </row>
    <row r="844" spans="18:18" x14ac:dyDescent="0.25">
      <c r="R844" s="592">
        <v>22004001</v>
      </c>
    </row>
    <row r="845" spans="18:18" x14ac:dyDescent="0.25">
      <c r="R845" s="592">
        <v>22004005</v>
      </c>
    </row>
    <row r="846" spans="18:18" x14ac:dyDescent="0.25">
      <c r="R846" s="592">
        <v>22004101</v>
      </c>
    </row>
    <row r="847" spans="18:18" x14ac:dyDescent="0.25">
      <c r="R847" s="592">
        <v>22004105</v>
      </c>
    </row>
    <row r="848" spans="18:18" x14ac:dyDescent="0.25">
      <c r="R848" s="592">
        <v>22004201</v>
      </c>
    </row>
    <row r="849" spans="18:18" x14ac:dyDescent="0.25">
      <c r="R849" s="592">
        <v>22004205</v>
      </c>
    </row>
    <row r="850" spans="18:18" x14ac:dyDescent="0.25">
      <c r="R850" s="592">
        <v>22005001</v>
      </c>
    </row>
    <row r="851" spans="18:18" x14ac:dyDescent="0.25">
      <c r="R851" s="592">
        <v>22005005</v>
      </c>
    </row>
    <row r="852" spans="18:18" x14ac:dyDescent="0.25">
      <c r="R852" s="592">
        <v>22005101</v>
      </c>
    </row>
    <row r="853" spans="18:18" x14ac:dyDescent="0.25">
      <c r="R853" s="592">
        <v>22005105</v>
      </c>
    </row>
    <row r="854" spans="18:18" x14ac:dyDescent="0.25">
      <c r="R854" s="592">
        <v>22005201</v>
      </c>
    </row>
    <row r="855" spans="18:18" x14ac:dyDescent="0.25">
      <c r="R855" s="592">
        <v>22005205</v>
      </c>
    </row>
    <row r="856" spans="18:18" x14ac:dyDescent="0.25">
      <c r="R856" s="592">
        <v>22011001</v>
      </c>
    </row>
    <row r="857" spans="18:18" x14ac:dyDescent="0.25">
      <c r="R857" s="592">
        <v>22011005</v>
      </c>
    </row>
    <row r="858" spans="18:18" x14ac:dyDescent="0.25">
      <c r="R858" s="592">
        <v>22011101</v>
      </c>
    </row>
    <row r="859" spans="18:18" x14ac:dyDescent="0.25">
      <c r="R859" s="592">
        <v>22011105</v>
      </c>
    </row>
    <row r="860" spans="18:18" x14ac:dyDescent="0.25">
      <c r="R860" s="592">
        <v>22011201</v>
      </c>
    </row>
    <row r="861" spans="18:18" x14ac:dyDescent="0.25">
      <c r="R861" s="592">
        <v>22011205</v>
      </c>
    </row>
    <row r="862" spans="18:18" x14ac:dyDescent="0.25">
      <c r="R862" s="592">
        <v>22011501</v>
      </c>
    </row>
    <row r="863" spans="18:18" x14ac:dyDescent="0.25">
      <c r="R863" s="592">
        <v>22011505</v>
      </c>
    </row>
    <row r="864" spans="18:18" x14ac:dyDescent="0.25">
      <c r="R864" s="592">
        <v>22011601</v>
      </c>
    </row>
    <row r="865" spans="18:18" x14ac:dyDescent="0.25">
      <c r="R865" s="592">
        <v>22011605</v>
      </c>
    </row>
    <row r="866" spans="18:18" x14ac:dyDescent="0.25">
      <c r="R866" s="592">
        <v>22012001</v>
      </c>
    </row>
    <row r="867" spans="18:18" x14ac:dyDescent="0.25">
      <c r="R867" s="592">
        <v>22012005</v>
      </c>
    </row>
    <row r="868" spans="18:18" x14ac:dyDescent="0.25">
      <c r="R868" s="592">
        <v>22012101</v>
      </c>
    </row>
    <row r="869" spans="18:18" x14ac:dyDescent="0.25">
      <c r="R869" s="592">
        <v>22012105</v>
      </c>
    </row>
    <row r="870" spans="18:18" x14ac:dyDescent="0.25">
      <c r="R870" s="592">
        <v>22012201</v>
      </c>
    </row>
    <row r="871" spans="18:18" x14ac:dyDescent="0.25">
      <c r="R871" s="592">
        <v>22012205</v>
      </c>
    </row>
    <row r="872" spans="18:18" x14ac:dyDescent="0.25">
      <c r="R872" s="592">
        <v>22012501</v>
      </c>
    </row>
    <row r="873" spans="18:18" x14ac:dyDescent="0.25">
      <c r="R873" s="592">
        <v>22012505</v>
      </c>
    </row>
    <row r="874" spans="18:18" x14ac:dyDescent="0.25">
      <c r="R874" s="592">
        <v>22012601</v>
      </c>
    </row>
    <row r="875" spans="18:18" x14ac:dyDescent="0.25">
      <c r="R875" s="592">
        <v>22012605</v>
      </c>
    </row>
    <row r="876" spans="18:18" x14ac:dyDescent="0.25">
      <c r="R876" s="592">
        <v>22013001</v>
      </c>
    </row>
    <row r="877" spans="18:18" x14ac:dyDescent="0.25">
      <c r="R877" s="592">
        <v>22013005</v>
      </c>
    </row>
    <row r="878" spans="18:18" x14ac:dyDescent="0.25">
      <c r="R878" s="592">
        <v>22013101</v>
      </c>
    </row>
    <row r="879" spans="18:18" x14ac:dyDescent="0.25">
      <c r="R879" s="592">
        <v>22013105</v>
      </c>
    </row>
    <row r="880" spans="18:18" x14ac:dyDescent="0.25">
      <c r="R880" s="592">
        <v>22013201</v>
      </c>
    </row>
    <row r="881" spans="18:18" x14ac:dyDescent="0.25">
      <c r="R881" s="592">
        <v>22013205</v>
      </c>
    </row>
    <row r="882" spans="18:18" x14ac:dyDescent="0.25">
      <c r="R882" s="592">
        <v>22013501</v>
      </c>
    </row>
    <row r="883" spans="18:18" x14ac:dyDescent="0.25">
      <c r="R883" s="592">
        <v>22013505</v>
      </c>
    </row>
    <row r="884" spans="18:18" x14ac:dyDescent="0.25">
      <c r="R884" s="592">
        <v>22013601</v>
      </c>
    </row>
    <row r="885" spans="18:18" x14ac:dyDescent="0.25">
      <c r="R885" s="592">
        <v>22013605</v>
      </c>
    </row>
    <row r="886" spans="18:18" x14ac:dyDescent="0.25">
      <c r="R886" s="592">
        <v>22014001</v>
      </c>
    </row>
    <row r="887" spans="18:18" x14ac:dyDescent="0.25">
      <c r="R887" s="592">
        <v>22014005</v>
      </c>
    </row>
    <row r="888" spans="18:18" x14ac:dyDescent="0.25">
      <c r="R888" s="592">
        <v>22014101</v>
      </c>
    </row>
    <row r="889" spans="18:18" x14ac:dyDescent="0.25">
      <c r="R889" s="592">
        <v>22014105</v>
      </c>
    </row>
    <row r="890" spans="18:18" x14ac:dyDescent="0.25">
      <c r="R890" s="592">
        <v>22014201</v>
      </c>
    </row>
    <row r="891" spans="18:18" x14ac:dyDescent="0.25">
      <c r="R891" s="592">
        <v>22014205</v>
      </c>
    </row>
    <row r="892" spans="18:18" x14ac:dyDescent="0.25">
      <c r="R892" s="592">
        <v>22015001</v>
      </c>
    </row>
    <row r="893" spans="18:18" x14ac:dyDescent="0.25">
      <c r="R893" s="592">
        <v>22015005</v>
      </c>
    </row>
    <row r="894" spans="18:18" x14ac:dyDescent="0.25">
      <c r="R894" s="592">
        <v>22015101</v>
      </c>
    </row>
    <row r="895" spans="18:18" x14ac:dyDescent="0.25">
      <c r="R895" s="592">
        <v>22015105</v>
      </c>
    </row>
    <row r="896" spans="18:18" x14ac:dyDescent="0.25">
      <c r="R896" s="592">
        <v>22015201</v>
      </c>
    </row>
    <row r="897" spans="18:18" x14ac:dyDescent="0.25">
      <c r="R897" s="592">
        <v>22015205</v>
      </c>
    </row>
    <row r="898" spans="18:18" x14ac:dyDescent="0.25">
      <c r="R898" s="592">
        <v>22101001</v>
      </c>
    </row>
    <row r="899" spans="18:18" x14ac:dyDescent="0.25">
      <c r="R899" s="592">
        <v>22101005</v>
      </c>
    </row>
    <row r="900" spans="18:18" x14ac:dyDescent="0.25">
      <c r="R900" s="592">
        <v>22101101</v>
      </c>
    </row>
    <row r="901" spans="18:18" x14ac:dyDescent="0.25">
      <c r="R901" s="592">
        <v>22101105</v>
      </c>
    </row>
    <row r="902" spans="18:18" x14ac:dyDescent="0.25">
      <c r="R902" s="592">
        <v>22101201</v>
      </c>
    </row>
    <row r="903" spans="18:18" x14ac:dyDescent="0.25">
      <c r="R903" s="592">
        <v>22101205</v>
      </c>
    </row>
    <row r="904" spans="18:18" x14ac:dyDescent="0.25">
      <c r="R904" s="592">
        <v>22101501</v>
      </c>
    </row>
    <row r="905" spans="18:18" x14ac:dyDescent="0.25">
      <c r="R905" s="592">
        <v>22101505</v>
      </c>
    </row>
    <row r="906" spans="18:18" x14ac:dyDescent="0.25">
      <c r="R906" s="592">
        <v>22101601</v>
      </c>
    </row>
    <row r="907" spans="18:18" x14ac:dyDescent="0.25">
      <c r="R907" s="592">
        <v>22101605</v>
      </c>
    </row>
    <row r="908" spans="18:18" x14ac:dyDescent="0.25">
      <c r="R908" s="592">
        <v>22102001</v>
      </c>
    </row>
    <row r="909" spans="18:18" x14ac:dyDescent="0.25">
      <c r="R909" s="592">
        <v>22102005</v>
      </c>
    </row>
    <row r="910" spans="18:18" x14ac:dyDescent="0.25">
      <c r="R910" s="592">
        <v>22102101</v>
      </c>
    </row>
    <row r="911" spans="18:18" x14ac:dyDescent="0.25">
      <c r="R911" s="592">
        <v>22102105</v>
      </c>
    </row>
    <row r="912" spans="18:18" x14ac:dyDescent="0.25">
      <c r="R912" s="592">
        <v>22102201</v>
      </c>
    </row>
    <row r="913" spans="18:18" x14ac:dyDescent="0.25">
      <c r="R913" s="592">
        <v>22102205</v>
      </c>
    </row>
    <row r="914" spans="18:18" x14ac:dyDescent="0.25">
      <c r="R914" s="592">
        <v>22102501</v>
      </c>
    </row>
    <row r="915" spans="18:18" x14ac:dyDescent="0.25">
      <c r="R915" s="592">
        <v>22102505</v>
      </c>
    </row>
    <row r="916" spans="18:18" x14ac:dyDescent="0.25">
      <c r="R916" s="592">
        <v>22102601</v>
      </c>
    </row>
    <row r="917" spans="18:18" x14ac:dyDescent="0.25">
      <c r="R917" s="592">
        <v>22102605</v>
      </c>
    </row>
    <row r="918" spans="18:18" x14ac:dyDescent="0.25">
      <c r="R918" s="592">
        <v>22103001</v>
      </c>
    </row>
    <row r="919" spans="18:18" x14ac:dyDescent="0.25">
      <c r="R919" s="592">
        <v>22103005</v>
      </c>
    </row>
    <row r="920" spans="18:18" x14ac:dyDescent="0.25">
      <c r="R920" s="592">
        <v>22103101</v>
      </c>
    </row>
    <row r="921" spans="18:18" x14ac:dyDescent="0.25">
      <c r="R921" s="592">
        <v>22103105</v>
      </c>
    </row>
    <row r="922" spans="18:18" x14ac:dyDescent="0.25">
      <c r="R922" s="592">
        <v>22103201</v>
      </c>
    </row>
    <row r="923" spans="18:18" x14ac:dyDescent="0.25">
      <c r="R923" s="592">
        <v>22103205</v>
      </c>
    </row>
    <row r="924" spans="18:18" x14ac:dyDescent="0.25">
      <c r="R924" s="592">
        <v>22103501</v>
      </c>
    </row>
    <row r="925" spans="18:18" x14ac:dyDescent="0.25">
      <c r="R925" s="592">
        <v>22103505</v>
      </c>
    </row>
    <row r="926" spans="18:18" x14ac:dyDescent="0.25">
      <c r="R926" s="592">
        <v>22103601</v>
      </c>
    </row>
    <row r="927" spans="18:18" x14ac:dyDescent="0.25">
      <c r="R927" s="592">
        <v>22103605</v>
      </c>
    </row>
    <row r="928" spans="18:18" x14ac:dyDescent="0.25">
      <c r="R928" s="592">
        <v>22104001</v>
      </c>
    </row>
    <row r="929" spans="18:18" x14ac:dyDescent="0.25">
      <c r="R929" s="592">
        <v>22104005</v>
      </c>
    </row>
    <row r="930" spans="18:18" x14ac:dyDescent="0.25">
      <c r="R930" s="592">
        <v>22104101</v>
      </c>
    </row>
    <row r="931" spans="18:18" x14ac:dyDescent="0.25">
      <c r="R931" s="592">
        <v>22104105</v>
      </c>
    </row>
    <row r="932" spans="18:18" x14ac:dyDescent="0.25">
      <c r="R932" s="592">
        <v>22104201</v>
      </c>
    </row>
    <row r="933" spans="18:18" x14ac:dyDescent="0.25">
      <c r="R933" s="592">
        <v>22104205</v>
      </c>
    </row>
    <row r="934" spans="18:18" x14ac:dyDescent="0.25">
      <c r="R934" s="592">
        <v>22105001</v>
      </c>
    </row>
    <row r="935" spans="18:18" x14ac:dyDescent="0.25">
      <c r="R935" s="592">
        <v>22105005</v>
      </c>
    </row>
    <row r="936" spans="18:18" x14ac:dyDescent="0.25">
      <c r="R936" s="592">
        <v>22105101</v>
      </c>
    </row>
    <row r="937" spans="18:18" x14ac:dyDescent="0.25">
      <c r="R937" s="592">
        <v>22105105</v>
      </c>
    </row>
    <row r="938" spans="18:18" x14ac:dyDescent="0.25">
      <c r="R938" s="592">
        <v>22105201</v>
      </c>
    </row>
    <row r="939" spans="18:18" x14ac:dyDescent="0.25">
      <c r="R939" s="592">
        <v>22105205</v>
      </c>
    </row>
    <row r="940" spans="18:18" x14ac:dyDescent="0.25">
      <c r="R940" s="592">
        <v>22111001</v>
      </c>
    </row>
    <row r="941" spans="18:18" x14ac:dyDescent="0.25">
      <c r="R941" s="592">
        <v>22111005</v>
      </c>
    </row>
    <row r="942" spans="18:18" x14ac:dyDescent="0.25">
      <c r="R942" s="592">
        <v>22111101</v>
      </c>
    </row>
    <row r="943" spans="18:18" x14ac:dyDescent="0.25">
      <c r="R943" s="592">
        <v>22111105</v>
      </c>
    </row>
    <row r="944" spans="18:18" x14ac:dyDescent="0.25">
      <c r="R944" s="592">
        <v>22111201</v>
      </c>
    </row>
    <row r="945" spans="18:18" x14ac:dyDescent="0.25">
      <c r="R945" s="592">
        <v>22111205</v>
      </c>
    </row>
    <row r="946" spans="18:18" x14ac:dyDescent="0.25">
      <c r="R946" s="592">
        <v>22111501</v>
      </c>
    </row>
    <row r="947" spans="18:18" x14ac:dyDescent="0.25">
      <c r="R947" s="592">
        <v>22111505</v>
      </c>
    </row>
    <row r="948" spans="18:18" x14ac:dyDescent="0.25">
      <c r="R948" s="592">
        <v>22111601</v>
      </c>
    </row>
    <row r="949" spans="18:18" x14ac:dyDescent="0.25">
      <c r="R949" s="592">
        <v>22111605</v>
      </c>
    </row>
    <row r="950" spans="18:18" x14ac:dyDescent="0.25">
      <c r="R950" s="592">
        <v>22112001</v>
      </c>
    </row>
    <row r="951" spans="18:18" x14ac:dyDescent="0.25">
      <c r="R951" s="592">
        <v>22112005</v>
      </c>
    </row>
    <row r="952" spans="18:18" x14ac:dyDescent="0.25">
      <c r="R952" s="592">
        <v>22112101</v>
      </c>
    </row>
    <row r="953" spans="18:18" x14ac:dyDescent="0.25">
      <c r="R953" s="592">
        <v>22112105</v>
      </c>
    </row>
    <row r="954" spans="18:18" x14ac:dyDescent="0.25">
      <c r="R954" s="592">
        <v>22112201</v>
      </c>
    </row>
    <row r="955" spans="18:18" x14ac:dyDescent="0.25">
      <c r="R955" s="592">
        <v>22112205</v>
      </c>
    </row>
    <row r="956" spans="18:18" x14ac:dyDescent="0.25">
      <c r="R956" s="592">
        <v>22112501</v>
      </c>
    </row>
    <row r="957" spans="18:18" x14ac:dyDescent="0.25">
      <c r="R957" s="592">
        <v>22112505</v>
      </c>
    </row>
    <row r="958" spans="18:18" x14ac:dyDescent="0.25">
      <c r="R958" s="592">
        <v>22112601</v>
      </c>
    </row>
    <row r="959" spans="18:18" x14ac:dyDescent="0.25">
      <c r="R959" s="592">
        <v>22112605</v>
      </c>
    </row>
    <row r="960" spans="18:18" x14ac:dyDescent="0.25">
      <c r="R960" s="592">
        <v>22113001</v>
      </c>
    </row>
    <row r="961" spans="18:18" x14ac:dyDescent="0.25">
      <c r="R961" s="592">
        <v>22113005</v>
      </c>
    </row>
    <row r="962" spans="18:18" x14ac:dyDescent="0.25">
      <c r="R962" s="592">
        <v>22113101</v>
      </c>
    </row>
    <row r="963" spans="18:18" x14ac:dyDescent="0.25">
      <c r="R963" s="592">
        <v>22113105</v>
      </c>
    </row>
    <row r="964" spans="18:18" x14ac:dyDescent="0.25">
      <c r="R964" s="592">
        <v>22113201</v>
      </c>
    </row>
    <row r="965" spans="18:18" x14ac:dyDescent="0.25">
      <c r="R965" s="592">
        <v>22113205</v>
      </c>
    </row>
    <row r="966" spans="18:18" x14ac:dyDescent="0.25">
      <c r="R966" s="592">
        <v>22113501</v>
      </c>
    </row>
    <row r="967" spans="18:18" x14ac:dyDescent="0.25">
      <c r="R967" s="592">
        <v>22113505</v>
      </c>
    </row>
    <row r="968" spans="18:18" x14ac:dyDescent="0.25">
      <c r="R968" s="592">
        <v>22113601</v>
      </c>
    </row>
    <row r="969" spans="18:18" x14ac:dyDescent="0.25">
      <c r="R969" s="592">
        <v>22113605</v>
      </c>
    </row>
    <row r="970" spans="18:18" x14ac:dyDescent="0.25">
      <c r="R970" s="592">
        <v>22114001</v>
      </c>
    </row>
    <row r="971" spans="18:18" x14ac:dyDescent="0.25">
      <c r="R971" s="592">
        <v>22114005</v>
      </c>
    </row>
    <row r="972" spans="18:18" x14ac:dyDescent="0.25">
      <c r="R972" s="592">
        <v>22114101</v>
      </c>
    </row>
    <row r="973" spans="18:18" x14ac:dyDescent="0.25">
      <c r="R973" s="592">
        <v>22114105</v>
      </c>
    </row>
    <row r="974" spans="18:18" x14ac:dyDescent="0.25">
      <c r="R974" s="592">
        <v>22114201</v>
      </c>
    </row>
    <row r="975" spans="18:18" x14ac:dyDescent="0.25">
      <c r="R975" s="592">
        <v>22114205</v>
      </c>
    </row>
    <row r="976" spans="18:18" x14ac:dyDescent="0.25">
      <c r="R976" s="592">
        <v>22115001</v>
      </c>
    </row>
    <row r="977" spans="18:18" x14ac:dyDescent="0.25">
      <c r="R977" s="592">
        <v>22115005</v>
      </c>
    </row>
    <row r="978" spans="18:18" x14ac:dyDescent="0.25">
      <c r="R978" s="592">
        <v>22115101</v>
      </c>
    </row>
    <row r="979" spans="18:18" x14ac:dyDescent="0.25">
      <c r="R979" s="592">
        <v>22115105</v>
      </c>
    </row>
    <row r="980" spans="18:18" x14ac:dyDescent="0.25">
      <c r="R980" s="592">
        <v>22115201</v>
      </c>
    </row>
    <row r="981" spans="18:18" x14ac:dyDescent="0.25">
      <c r="R981" s="592">
        <v>22115205</v>
      </c>
    </row>
    <row r="982" spans="18:18" x14ac:dyDescent="0.25">
      <c r="R982" s="592">
        <v>22201001</v>
      </c>
    </row>
    <row r="983" spans="18:18" x14ac:dyDescent="0.25">
      <c r="R983" s="592">
        <v>22201005</v>
      </c>
    </row>
    <row r="984" spans="18:18" x14ac:dyDescent="0.25">
      <c r="R984" s="592">
        <v>22201101</v>
      </c>
    </row>
    <row r="985" spans="18:18" x14ac:dyDescent="0.25">
      <c r="R985" s="592">
        <v>22201105</v>
      </c>
    </row>
    <row r="986" spans="18:18" x14ac:dyDescent="0.25">
      <c r="R986" s="592">
        <v>22201201</v>
      </c>
    </row>
    <row r="987" spans="18:18" x14ac:dyDescent="0.25">
      <c r="R987" s="592">
        <v>22201205</v>
      </c>
    </row>
    <row r="988" spans="18:18" x14ac:dyDescent="0.25">
      <c r="R988" s="592">
        <v>22201501</v>
      </c>
    </row>
    <row r="989" spans="18:18" x14ac:dyDescent="0.25">
      <c r="R989" s="592">
        <v>22201505</v>
      </c>
    </row>
    <row r="990" spans="18:18" x14ac:dyDescent="0.25">
      <c r="R990" s="592">
        <v>22201601</v>
      </c>
    </row>
    <row r="991" spans="18:18" x14ac:dyDescent="0.25">
      <c r="R991" s="592">
        <v>22201605</v>
      </c>
    </row>
    <row r="992" spans="18:18" x14ac:dyDescent="0.25">
      <c r="R992" s="592">
        <v>22202001</v>
      </c>
    </row>
    <row r="993" spans="18:18" x14ac:dyDescent="0.25">
      <c r="R993" s="592">
        <v>22202005</v>
      </c>
    </row>
    <row r="994" spans="18:18" x14ac:dyDescent="0.25">
      <c r="R994" s="592">
        <v>22202101</v>
      </c>
    </row>
    <row r="995" spans="18:18" x14ac:dyDescent="0.25">
      <c r="R995" s="592">
        <v>22202105</v>
      </c>
    </row>
    <row r="996" spans="18:18" x14ac:dyDescent="0.25">
      <c r="R996" s="592">
        <v>22202201</v>
      </c>
    </row>
    <row r="997" spans="18:18" x14ac:dyDescent="0.25">
      <c r="R997" s="592">
        <v>22202205</v>
      </c>
    </row>
    <row r="998" spans="18:18" x14ac:dyDescent="0.25">
      <c r="R998" s="592">
        <v>22202501</v>
      </c>
    </row>
    <row r="999" spans="18:18" x14ac:dyDescent="0.25">
      <c r="R999" s="592">
        <v>22202505</v>
      </c>
    </row>
    <row r="1000" spans="18:18" x14ac:dyDescent="0.25">
      <c r="R1000" s="592">
        <v>22202601</v>
      </c>
    </row>
    <row r="1001" spans="18:18" x14ac:dyDescent="0.25">
      <c r="R1001" s="592">
        <v>22202605</v>
      </c>
    </row>
    <row r="1002" spans="18:18" x14ac:dyDescent="0.25">
      <c r="R1002" s="592">
        <v>22203001</v>
      </c>
    </row>
    <row r="1003" spans="18:18" x14ac:dyDescent="0.25">
      <c r="R1003" s="592">
        <v>22203005</v>
      </c>
    </row>
    <row r="1004" spans="18:18" x14ac:dyDescent="0.25">
      <c r="R1004" s="592">
        <v>22203101</v>
      </c>
    </row>
    <row r="1005" spans="18:18" x14ac:dyDescent="0.25">
      <c r="R1005" s="592">
        <v>22203105</v>
      </c>
    </row>
    <row r="1006" spans="18:18" x14ac:dyDescent="0.25">
      <c r="R1006" s="592">
        <v>22203201</v>
      </c>
    </row>
    <row r="1007" spans="18:18" x14ac:dyDescent="0.25">
      <c r="R1007" s="592">
        <v>22203205</v>
      </c>
    </row>
    <row r="1008" spans="18:18" x14ac:dyDescent="0.25">
      <c r="R1008" s="592">
        <v>22203501</v>
      </c>
    </row>
    <row r="1009" spans="18:18" x14ac:dyDescent="0.25">
      <c r="R1009" s="592">
        <v>22203505</v>
      </c>
    </row>
    <row r="1010" spans="18:18" x14ac:dyDescent="0.25">
      <c r="R1010" s="592">
        <v>22203601</v>
      </c>
    </row>
    <row r="1011" spans="18:18" x14ac:dyDescent="0.25">
      <c r="R1011" s="592">
        <v>22203605</v>
      </c>
    </row>
    <row r="1012" spans="18:18" x14ac:dyDescent="0.25">
      <c r="R1012" s="592">
        <v>22204001</v>
      </c>
    </row>
    <row r="1013" spans="18:18" x14ac:dyDescent="0.25">
      <c r="R1013" s="592">
        <v>22204005</v>
      </c>
    </row>
    <row r="1014" spans="18:18" x14ac:dyDescent="0.25">
      <c r="R1014" s="592">
        <v>22204101</v>
      </c>
    </row>
    <row r="1015" spans="18:18" x14ac:dyDescent="0.25">
      <c r="R1015" s="592">
        <v>22204105</v>
      </c>
    </row>
    <row r="1016" spans="18:18" x14ac:dyDescent="0.25">
      <c r="R1016" s="592">
        <v>22204201</v>
      </c>
    </row>
    <row r="1017" spans="18:18" x14ac:dyDescent="0.25">
      <c r="R1017" s="592">
        <v>22204205</v>
      </c>
    </row>
    <row r="1018" spans="18:18" x14ac:dyDescent="0.25">
      <c r="R1018" s="592">
        <v>22205001</v>
      </c>
    </row>
    <row r="1019" spans="18:18" x14ac:dyDescent="0.25">
      <c r="R1019" s="592">
        <v>22205005</v>
      </c>
    </row>
    <row r="1020" spans="18:18" x14ac:dyDescent="0.25">
      <c r="R1020" s="592">
        <v>22205101</v>
      </c>
    </row>
    <row r="1021" spans="18:18" x14ac:dyDescent="0.25">
      <c r="R1021" s="592">
        <v>22205105</v>
      </c>
    </row>
    <row r="1022" spans="18:18" x14ac:dyDescent="0.25">
      <c r="R1022" s="592">
        <v>22205201</v>
      </c>
    </row>
    <row r="1023" spans="18:18" x14ac:dyDescent="0.25">
      <c r="R1023" s="592">
        <v>22205205</v>
      </c>
    </row>
    <row r="1024" spans="18:18" x14ac:dyDescent="0.25">
      <c r="R1024" s="592">
        <v>22211001</v>
      </c>
    </row>
    <row r="1025" spans="18:18" x14ac:dyDescent="0.25">
      <c r="R1025" s="592">
        <v>22211005</v>
      </c>
    </row>
    <row r="1026" spans="18:18" x14ac:dyDescent="0.25">
      <c r="R1026" s="592">
        <v>22211101</v>
      </c>
    </row>
    <row r="1027" spans="18:18" x14ac:dyDescent="0.25">
      <c r="R1027" s="592">
        <v>22211105</v>
      </c>
    </row>
    <row r="1028" spans="18:18" x14ac:dyDescent="0.25">
      <c r="R1028" s="592">
        <v>22211201</v>
      </c>
    </row>
    <row r="1029" spans="18:18" x14ac:dyDescent="0.25">
      <c r="R1029" s="592">
        <v>22211205</v>
      </c>
    </row>
    <row r="1030" spans="18:18" x14ac:dyDescent="0.25">
      <c r="R1030" s="592">
        <v>22211501</v>
      </c>
    </row>
    <row r="1031" spans="18:18" x14ac:dyDescent="0.25">
      <c r="R1031" s="592">
        <v>22211505</v>
      </c>
    </row>
    <row r="1032" spans="18:18" x14ac:dyDescent="0.25">
      <c r="R1032" s="592">
        <v>22211601</v>
      </c>
    </row>
    <row r="1033" spans="18:18" x14ac:dyDescent="0.25">
      <c r="R1033" s="592">
        <v>22211605</v>
      </c>
    </row>
    <row r="1034" spans="18:18" x14ac:dyDescent="0.25">
      <c r="R1034" s="592">
        <v>22212001</v>
      </c>
    </row>
    <row r="1035" spans="18:18" x14ac:dyDescent="0.25">
      <c r="R1035" s="592">
        <v>22212005</v>
      </c>
    </row>
    <row r="1036" spans="18:18" x14ac:dyDescent="0.25">
      <c r="R1036" s="592">
        <v>22212101</v>
      </c>
    </row>
    <row r="1037" spans="18:18" x14ac:dyDescent="0.25">
      <c r="R1037" s="592">
        <v>22212105</v>
      </c>
    </row>
    <row r="1038" spans="18:18" x14ac:dyDescent="0.25">
      <c r="R1038" s="592">
        <v>22212201</v>
      </c>
    </row>
    <row r="1039" spans="18:18" x14ac:dyDescent="0.25">
      <c r="R1039" s="592">
        <v>22212205</v>
      </c>
    </row>
    <row r="1040" spans="18:18" x14ac:dyDescent="0.25">
      <c r="R1040" s="592">
        <v>22212501</v>
      </c>
    </row>
    <row r="1041" spans="18:18" x14ac:dyDescent="0.25">
      <c r="R1041" s="592">
        <v>22212505</v>
      </c>
    </row>
    <row r="1042" spans="18:18" x14ac:dyDescent="0.25">
      <c r="R1042" s="592">
        <v>22212601</v>
      </c>
    </row>
    <row r="1043" spans="18:18" x14ac:dyDescent="0.25">
      <c r="R1043" s="592">
        <v>22212605</v>
      </c>
    </row>
    <row r="1044" spans="18:18" x14ac:dyDescent="0.25">
      <c r="R1044" s="592">
        <v>22213001</v>
      </c>
    </row>
    <row r="1045" spans="18:18" x14ac:dyDescent="0.25">
      <c r="R1045" s="592">
        <v>22213005</v>
      </c>
    </row>
    <row r="1046" spans="18:18" x14ac:dyDescent="0.25">
      <c r="R1046" s="592">
        <v>22213101</v>
      </c>
    </row>
    <row r="1047" spans="18:18" x14ac:dyDescent="0.25">
      <c r="R1047" s="592">
        <v>22213105</v>
      </c>
    </row>
    <row r="1048" spans="18:18" x14ac:dyDescent="0.25">
      <c r="R1048" s="592">
        <v>22213201</v>
      </c>
    </row>
    <row r="1049" spans="18:18" x14ac:dyDescent="0.25">
      <c r="R1049" s="592">
        <v>22213205</v>
      </c>
    </row>
    <row r="1050" spans="18:18" x14ac:dyDescent="0.25">
      <c r="R1050" s="592">
        <v>22213501</v>
      </c>
    </row>
    <row r="1051" spans="18:18" x14ac:dyDescent="0.25">
      <c r="R1051" s="592">
        <v>22213505</v>
      </c>
    </row>
    <row r="1052" spans="18:18" x14ac:dyDescent="0.25">
      <c r="R1052" s="592">
        <v>22213601</v>
      </c>
    </row>
    <row r="1053" spans="18:18" x14ac:dyDescent="0.25">
      <c r="R1053" s="592">
        <v>22213605</v>
      </c>
    </row>
    <row r="1054" spans="18:18" x14ac:dyDescent="0.25">
      <c r="R1054" s="592">
        <v>22214001</v>
      </c>
    </row>
    <row r="1055" spans="18:18" x14ac:dyDescent="0.25">
      <c r="R1055" s="592">
        <v>22214005</v>
      </c>
    </row>
    <row r="1056" spans="18:18" x14ac:dyDescent="0.25">
      <c r="R1056" s="592">
        <v>22214101</v>
      </c>
    </row>
    <row r="1057" spans="18:18" x14ac:dyDescent="0.25">
      <c r="R1057" s="592">
        <v>22214105</v>
      </c>
    </row>
    <row r="1058" spans="18:18" x14ac:dyDescent="0.25">
      <c r="R1058" s="592">
        <v>22214201</v>
      </c>
    </row>
    <row r="1059" spans="18:18" x14ac:dyDescent="0.25">
      <c r="R1059" s="592">
        <v>22214205</v>
      </c>
    </row>
    <row r="1060" spans="18:18" x14ac:dyDescent="0.25">
      <c r="R1060" s="592">
        <v>22215001</v>
      </c>
    </row>
    <row r="1061" spans="18:18" x14ac:dyDescent="0.25">
      <c r="R1061" s="592">
        <v>22215005</v>
      </c>
    </row>
    <row r="1062" spans="18:18" x14ac:dyDescent="0.25">
      <c r="R1062" s="592">
        <v>22215101</v>
      </c>
    </row>
    <row r="1063" spans="18:18" x14ac:dyDescent="0.25">
      <c r="R1063" s="592">
        <v>22215105</v>
      </c>
    </row>
    <row r="1064" spans="18:18" x14ac:dyDescent="0.25">
      <c r="R1064" s="592">
        <v>22215201</v>
      </c>
    </row>
    <row r="1065" spans="18:18" x14ac:dyDescent="0.25">
      <c r="R1065" s="592">
        <v>22215205</v>
      </c>
    </row>
    <row r="1066" spans="18:18" x14ac:dyDescent="0.25">
      <c r="R1066" s="592">
        <v>50001001</v>
      </c>
    </row>
    <row r="1067" spans="18:18" x14ac:dyDescent="0.25">
      <c r="R1067" s="592">
        <v>50001005</v>
      </c>
    </row>
    <row r="1068" spans="18:18" x14ac:dyDescent="0.25">
      <c r="R1068" s="592">
        <v>50001101</v>
      </c>
    </row>
    <row r="1069" spans="18:18" x14ac:dyDescent="0.25">
      <c r="R1069" s="592">
        <v>50001105</v>
      </c>
    </row>
    <row r="1070" spans="18:18" x14ac:dyDescent="0.25">
      <c r="R1070" s="592">
        <v>50001201</v>
      </c>
    </row>
    <row r="1071" spans="18:18" x14ac:dyDescent="0.25">
      <c r="R1071" s="592">
        <v>50001205</v>
      </c>
    </row>
    <row r="1072" spans="18:18" x14ac:dyDescent="0.25">
      <c r="R1072" s="592">
        <v>50001501</v>
      </c>
    </row>
    <row r="1073" spans="18:18" x14ac:dyDescent="0.25">
      <c r="R1073" s="592">
        <v>50001505</v>
      </c>
    </row>
    <row r="1074" spans="18:18" x14ac:dyDescent="0.25">
      <c r="R1074" s="592">
        <v>50001601</v>
      </c>
    </row>
    <row r="1075" spans="18:18" x14ac:dyDescent="0.25">
      <c r="R1075" s="592">
        <v>50001605</v>
      </c>
    </row>
    <row r="1076" spans="18:18" x14ac:dyDescent="0.25">
      <c r="R1076" s="592">
        <v>50002001</v>
      </c>
    </row>
    <row r="1077" spans="18:18" x14ac:dyDescent="0.25">
      <c r="R1077" s="592">
        <v>50002005</v>
      </c>
    </row>
    <row r="1078" spans="18:18" x14ac:dyDescent="0.25">
      <c r="R1078" s="592">
        <v>50002101</v>
      </c>
    </row>
    <row r="1079" spans="18:18" x14ac:dyDescent="0.25">
      <c r="R1079" s="592">
        <v>50002105</v>
      </c>
    </row>
    <row r="1080" spans="18:18" x14ac:dyDescent="0.25">
      <c r="R1080" s="592">
        <v>50002201</v>
      </c>
    </row>
    <row r="1081" spans="18:18" x14ac:dyDescent="0.25">
      <c r="R1081" s="592">
        <v>50002205</v>
      </c>
    </row>
    <row r="1082" spans="18:18" x14ac:dyDescent="0.25">
      <c r="R1082" s="592">
        <v>50002501</v>
      </c>
    </row>
    <row r="1083" spans="18:18" x14ac:dyDescent="0.25">
      <c r="R1083" s="592">
        <v>50002505</v>
      </c>
    </row>
    <row r="1084" spans="18:18" x14ac:dyDescent="0.25">
      <c r="R1084" s="592">
        <v>50002601</v>
      </c>
    </row>
    <row r="1085" spans="18:18" x14ac:dyDescent="0.25">
      <c r="R1085" s="592">
        <v>50002605</v>
      </c>
    </row>
    <row r="1086" spans="18:18" x14ac:dyDescent="0.25">
      <c r="R1086" s="592">
        <v>50003001</v>
      </c>
    </row>
    <row r="1087" spans="18:18" x14ac:dyDescent="0.25">
      <c r="R1087" s="592">
        <v>50003005</v>
      </c>
    </row>
    <row r="1088" spans="18:18" x14ac:dyDescent="0.25">
      <c r="R1088" s="592">
        <v>50003101</v>
      </c>
    </row>
    <row r="1089" spans="18:18" x14ac:dyDescent="0.25">
      <c r="R1089" s="592">
        <v>50003105</v>
      </c>
    </row>
    <row r="1090" spans="18:18" x14ac:dyDescent="0.25">
      <c r="R1090" s="592">
        <v>50003201</v>
      </c>
    </row>
    <row r="1091" spans="18:18" x14ac:dyDescent="0.25">
      <c r="R1091" s="592">
        <v>50003205</v>
      </c>
    </row>
    <row r="1092" spans="18:18" x14ac:dyDescent="0.25">
      <c r="R1092" s="592">
        <v>50003501</v>
      </c>
    </row>
    <row r="1093" spans="18:18" x14ac:dyDescent="0.25">
      <c r="R1093" s="592">
        <v>50003505</v>
      </c>
    </row>
    <row r="1094" spans="18:18" x14ac:dyDescent="0.25">
      <c r="R1094" s="592">
        <v>50003601</v>
      </c>
    </row>
    <row r="1095" spans="18:18" x14ac:dyDescent="0.25">
      <c r="R1095" s="592">
        <v>50003605</v>
      </c>
    </row>
    <row r="1096" spans="18:18" x14ac:dyDescent="0.25">
      <c r="R1096" s="592">
        <v>50004001</v>
      </c>
    </row>
    <row r="1097" spans="18:18" x14ac:dyDescent="0.25">
      <c r="R1097" s="592">
        <v>50004005</v>
      </c>
    </row>
    <row r="1098" spans="18:18" x14ac:dyDescent="0.25">
      <c r="R1098" s="592">
        <v>50004101</v>
      </c>
    </row>
    <row r="1099" spans="18:18" x14ac:dyDescent="0.25">
      <c r="R1099" s="592">
        <v>50004105</v>
      </c>
    </row>
    <row r="1100" spans="18:18" x14ac:dyDescent="0.25">
      <c r="R1100" s="592">
        <v>50004201</v>
      </c>
    </row>
    <row r="1101" spans="18:18" x14ac:dyDescent="0.25">
      <c r="R1101" s="592">
        <v>50004205</v>
      </c>
    </row>
    <row r="1102" spans="18:18" x14ac:dyDescent="0.25">
      <c r="R1102" s="592">
        <v>50005001</v>
      </c>
    </row>
    <row r="1103" spans="18:18" x14ac:dyDescent="0.25">
      <c r="R1103" s="592">
        <v>50005005</v>
      </c>
    </row>
    <row r="1104" spans="18:18" x14ac:dyDescent="0.25">
      <c r="R1104" s="592">
        <v>50005101</v>
      </c>
    </row>
    <row r="1105" spans="18:18" x14ac:dyDescent="0.25">
      <c r="R1105" s="592">
        <v>50005105</v>
      </c>
    </row>
    <row r="1106" spans="18:18" x14ac:dyDescent="0.25">
      <c r="R1106" s="592">
        <v>50005201</v>
      </c>
    </row>
    <row r="1107" spans="18:18" x14ac:dyDescent="0.25">
      <c r="R1107" s="592">
        <v>50005205</v>
      </c>
    </row>
    <row r="1108" spans="18:18" x14ac:dyDescent="0.25">
      <c r="R1108" s="592" t="s">
        <v>505</v>
      </c>
    </row>
    <row r="1109" spans="18:18" x14ac:dyDescent="0.25">
      <c r="R1109" s="592" t="s">
        <v>505</v>
      </c>
    </row>
    <row r="1110" spans="18:18" x14ac:dyDescent="0.25">
      <c r="R1110" s="592" t="s">
        <v>505</v>
      </c>
    </row>
    <row r="1111" spans="18:18" x14ac:dyDescent="0.25">
      <c r="R1111" s="592" t="s">
        <v>505</v>
      </c>
    </row>
    <row r="1112" spans="18:18" x14ac:dyDescent="0.25">
      <c r="R1112" s="592" t="s">
        <v>505</v>
      </c>
    </row>
    <row r="1113" spans="18:18" x14ac:dyDescent="0.25">
      <c r="R1113" s="592" t="s">
        <v>505</v>
      </c>
    </row>
    <row r="1114" spans="18:18" x14ac:dyDescent="0.25">
      <c r="R1114" s="592" t="s">
        <v>505</v>
      </c>
    </row>
    <row r="1115" spans="18:18" x14ac:dyDescent="0.25">
      <c r="R1115" s="592" t="s">
        <v>505</v>
      </c>
    </row>
    <row r="1116" spans="18:18" x14ac:dyDescent="0.25">
      <c r="R1116" s="592" t="s">
        <v>505</v>
      </c>
    </row>
    <row r="1117" spans="18:18" x14ac:dyDescent="0.25">
      <c r="R1117" s="592" t="s">
        <v>505</v>
      </c>
    </row>
    <row r="1118" spans="18:18" x14ac:dyDescent="0.25">
      <c r="R1118" s="592" t="s">
        <v>505</v>
      </c>
    </row>
    <row r="1119" spans="18:18" x14ac:dyDescent="0.25">
      <c r="R1119" s="592" t="s">
        <v>505</v>
      </c>
    </row>
    <row r="1120" spans="18:18" x14ac:dyDescent="0.25">
      <c r="R1120" s="592" t="s">
        <v>505</v>
      </c>
    </row>
    <row r="1121" spans="18:18" x14ac:dyDescent="0.25">
      <c r="R1121" s="592" t="s">
        <v>505</v>
      </c>
    </row>
    <row r="1122" spans="18:18" x14ac:dyDescent="0.25">
      <c r="R1122" s="592" t="s">
        <v>505</v>
      </c>
    </row>
    <row r="1123" spans="18:18" x14ac:dyDescent="0.25">
      <c r="R1123" s="592" t="s">
        <v>505</v>
      </c>
    </row>
    <row r="1124" spans="18:18" x14ac:dyDescent="0.25">
      <c r="R1124" s="592" t="s">
        <v>505</v>
      </c>
    </row>
    <row r="1125" spans="18:18" x14ac:dyDescent="0.25">
      <c r="R1125" s="592" t="s">
        <v>505</v>
      </c>
    </row>
    <row r="1126" spans="18:18" x14ac:dyDescent="0.25">
      <c r="R1126" s="592" t="s">
        <v>505</v>
      </c>
    </row>
    <row r="1127" spans="18:18" x14ac:dyDescent="0.25">
      <c r="R1127" s="592" t="s">
        <v>505</v>
      </c>
    </row>
    <row r="1128" spans="18:18" x14ac:dyDescent="0.25">
      <c r="R1128" s="592" t="s">
        <v>505</v>
      </c>
    </row>
    <row r="1129" spans="18:18" x14ac:dyDescent="0.25">
      <c r="R1129" s="592" t="s">
        <v>505</v>
      </c>
    </row>
    <row r="1130" spans="18:18" x14ac:dyDescent="0.25">
      <c r="R1130" s="592" t="s">
        <v>505</v>
      </c>
    </row>
    <row r="1131" spans="18:18" x14ac:dyDescent="0.25">
      <c r="R1131" s="592" t="s">
        <v>505</v>
      </c>
    </row>
    <row r="1132" spans="18:18" x14ac:dyDescent="0.25">
      <c r="R1132" s="592" t="s">
        <v>505</v>
      </c>
    </row>
    <row r="1133" spans="18:18" x14ac:dyDescent="0.25">
      <c r="R1133" s="592" t="s">
        <v>505</v>
      </c>
    </row>
    <row r="1134" spans="18:18" x14ac:dyDescent="0.25">
      <c r="R1134" s="592" t="s">
        <v>505</v>
      </c>
    </row>
    <row r="1135" spans="18:18" x14ac:dyDescent="0.25">
      <c r="R1135" s="592" t="s">
        <v>505</v>
      </c>
    </row>
  </sheetData>
  <sheetProtection algorithmName="SHA-512" hashValue="I/9KCBIrpsM76f9UhI7dCVHaKxAOUrnWaZVo0zMU8XSdwA8Qn6J6L8f+VtCSJjqYDn2VYjCMG8EivBW5pN15Xg==" saltValue="Jq9a16ek8sMWsjj6b/cvTQ==" spinCount="100000" sheet="1" selectLockedCells="1"/>
  <sortState xmlns:xlrd2="http://schemas.microsoft.com/office/spreadsheetml/2017/richdata2" ref="R3:R1107">
    <sortCondition ref="R2"/>
  </sortState>
  <mergeCells count="5">
    <mergeCell ref="B13:C13"/>
    <mergeCell ref="D13:E13"/>
    <mergeCell ref="B14:C14"/>
    <mergeCell ref="D14:E14"/>
    <mergeCell ref="B48:G48"/>
  </mergeCells>
  <phoneticPr fontId="2" type="noConversion"/>
  <conditionalFormatting sqref="D14:E14">
    <cfRule type="expression" dxfId="47" priority="2" stopIfTrue="1">
      <formula>D13&lt;&gt;""</formula>
    </cfRule>
  </conditionalFormatting>
  <conditionalFormatting sqref="C35:G38 C41:G44 F32:G32">
    <cfRule type="expression" dxfId="46" priority="3" stopIfTrue="1">
      <formula>$B$26=""</formula>
    </cfRule>
  </conditionalFormatting>
  <conditionalFormatting sqref="C23">
    <cfRule type="expression" dxfId="45" priority="4" stopIfTrue="1">
      <formula>$B$23=""</formula>
    </cfRule>
  </conditionalFormatting>
  <conditionalFormatting sqref="E21">
    <cfRule type="expression" dxfId="44" priority="5" stopIfTrue="1">
      <formula>$E$20=""</formula>
    </cfRule>
  </conditionalFormatting>
  <conditionalFormatting sqref="F21">
    <cfRule type="expression" dxfId="43" priority="6" stopIfTrue="1">
      <formula>$F$20=""</formula>
    </cfRule>
  </conditionalFormatting>
  <conditionalFormatting sqref="B18">
    <cfRule type="expression" dxfId="42" priority="7" stopIfTrue="1">
      <formula>$B$17&lt;&gt;""</formula>
    </cfRule>
  </conditionalFormatting>
  <conditionalFormatting sqref="C18">
    <cfRule type="expression" dxfId="41" priority="8" stopIfTrue="1">
      <formula>$C$17&lt;&gt;""</formula>
    </cfRule>
  </conditionalFormatting>
  <conditionalFormatting sqref="B22">
    <cfRule type="expression" dxfId="40" priority="9" stopIfTrue="1">
      <formula>$B$21&lt;&gt;""</formula>
    </cfRule>
  </conditionalFormatting>
  <conditionalFormatting sqref="C22">
    <cfRule type="expression" dxfId="39" priority="10" stopIfTrue="1">
      <formula>$C$21&lt;&gt;""</formula>
    </cfRule>
  </conditionalFormatting>
  <conditionalFormatting sqref="D22">
    <cfRule type="expression" dxfId="38" priority="11" stopIfTrue="1">
      <formula>$D$21&lt;&gt;""</formula>
    </cfRule>
  </conditionalFormatting>
  <conditionalFormatting sqref="E22">
    <cfRule type="expression" dxfId="37" priority="12" stopIfTrue="1">
      <formula>OR($E$20="",$E$21&lt;&gt;"")</formula>
    </cfRule>
  </conditionalFormatting>
  <conditionalFormatting sqref="F22">
    <cfRule type="expression" dxfId="36" priority="13" stopIfTrue="1">
      <formula>OR($F$20="",$F$21&lt;&gt;"")</formula>
    </cfRule>
  </conditionalFormatting>
  <conditionalFormatting sqref="C4:C9 B4:B7 B9">
    <cfRule type="expression" dxfId="35" priority="14" stopIfTrue="1">
      <formula>$B$26&lt;&gt;""</formula>
    </cfRule>
  </conditionalFormatting>
  <conditionalFormatting sqref="B14:C14">
    <cfRule type="expression" dxfId="34" priority="15" stopIfTrue="1">
      <formula>$B$13&lt;&gt;""</formula>
    </cfRule>
  </conditionalFormatting>
  <conditionalFormatting sqref="B8">
    <cfRule type="expression" dxfId="33" priority="16" stopIfTrue="1">
      <formula>$B$26&lt;&gt;""</formula>
    </cfRule>
  </conditionalFormatting>
  <conditionalFormatting sqref="G22">
    <cfRule type="expression" dxfId="32" priority="1" stopIfTrue="1">
      <formula>$G$21&lt;&gt;""</formula>
    </cfRule>
  </conditionalFormatting>
  <dataValidations count="6">
    <dataValidation type="list" allowBlank="1" showInputMessage="1" showErrorMessage="1" errorTitle="ungültiger Wert!" sqref="B17" xr:uid="{00000000-0002-0000-0000-000000000000}">
      <formula1>$P$2:$P$3</formula1>
    </dataValidation>
    <dataValidation type="list" allowBlank="1" showInputMessage="1" showErrorMessage="1" errorTitle="ungültiger Wert!" sqref="E21" xr:uid="{00000000-0002-0000-0000-000001000000}">
      <formula1>$T$2:$T$14</formula1>
    </dataValidation>
    <dataValidation type="list" allowBlank="1" showInputMessage="1" showErrorMessage="1" errorTitle="ungültiger Wert!" sqref="F21" xr:uid="{00000000-0002-0000-0000-000002000000}">
      <formula1>$U$2:$U$5</formula1>
    </dataValidation>
    <dataValidation type="list" allowBlank="1" showInputMessage="1" showErrorMessage="1" errorTitle="ungültiger Wert!" sqref="G21" xr:uid="{00000000-0002-0000-0000-000003000000}">
      <formula1>$P$11:$P$13</formula1>
    </dataValidation>
    <dataValidation allowBlank="1" showInputMessage="1" showErrorMessage="1" errorTitle="ungültiger Wert!" sqref="F22:G22" xr:uid="{00000000-0002-0000-0000-000004000000}"/>
    <dataValidation type="list" showInputMessage="1" showErrorMessage="1" errorTitle="ungültiger LBI" sqref="D21" xr:uid="{00000000-0002-0000-0000-000005000000}">
      <formula1>$S$2:$S$70</formula1>
    </dataValidation>
  </dataValidations>
  <pageMargins left="0.59055118110236227" right="0.59055118110236227" top="0.39370078740157483" bottom="0.39370078740157483" header="0.51181102362204722" footer="0.51181102362204722"/>
  <pageSetup paperSize="9" orientation="portrait" r:id="rId1"/>
  <headerFooter alignWithMargins="0"/>
  <customProperties>
    <customPr name="SSCSheetTrackingNo"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Wertebereich!$AE$2:$AE$2000</xm:f>
          </x14:formula1>
          <xm:sqref>B21</xm:sqref>
        </x14:dataValidation>
        <x14:dataValidation type="list" showInputMessage="1" showErrorMessage="1" errorTitle="ungültige Plannummer" xr:uid="{00000000-0002-0000-0000-000007000000}">
          <x14:formula1>
            <xm:f>Wertebereich!$AA$2:$AA$2000</xm:f>
          </x14:formula1>
          <xm:sqref>C21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0"/>
  </sheetPr>
  <dimension ref="A1:IF239"/>
  <sheetViews>
    <sheetView topLeftCell="A218" zoomScale="125" workbookViewId="0"/>
  </sheetViews>
  <sheetFormatPr baseColWidth="10" defaultColWidth="11.44140625" defaultRowHeight="13.2" x14ac:dyDescent="0.25"/>
  <cols>
    <col min="1" max="1" width="11.109375" style="22" customWidth="1"/>
    <col min="2" max="4" width="7" style="22" customWidth="1"/>
    <col min="5" max="7" width="10" style="22" customWidth="1"/>
    <col min="8" max="63" width="7" style="22" customWidth="1"/>
    <col min="64" max="16384" width="11.44140625" style="22"/>
  </cols>
  <sheetData>
    <row r="1" spans="1:19" ht="17.399999999999999" x14ac:dyDescent="0.3">
      <c r="A1" s="28" t="s">
        <v>77</v>
      </c>
      <c r="H1" s="123"/>
      <c r="I1" s="33"/>
      <c r="J1" s="33"/>
      <c r="K1" s="33"/>
    </row>
    <row r="2" spans="1:19" ht="17.399999999999999" x14ac:dyDescent="0.3">
      <c r="A2" s="28"/>
      <c r="H2" s="123"/>
      <c r="I2" s="33"/>
      <c r="J2" s="33"/>
      <c r="K2" s="33"/>
    </row>
    <row r="3" spans="1:19" ht="15.6" x14ac:dyDescent="0.3">
      <c r="A3" s="78" t="s">
        <v>295</v>
      </c>
      <c r="L3" s="78" t="s">
        <v>309</v>
      </c>
    </row>
    <row r="4" spans="1:19" s="31" customFormat="1" ht="10.8" x14ac:dyDescent="0.2">
      <c r="B4" s="32"/>
      <c r="C4" s="32">
        <v>1</v>
      </c>
      <c r="D4" s="32">
        <v>2</v>
      </c>
      <c r="E4" s="32">
        <v>3</v>
      </c>
      <c r="F4" s="32">
        <v>4</v>
      </c>
      <c r="G4" s="32">
        <v>5</v>
      </c>
      <c r="H4" s="32">
        <v>6</v>
      </c>
      <c r="I4" s="32">
        <v>7</v>
      </c>
      <c r="J4" s="32">
        <v>8</v>
      </c>
      <c r="K4" s="32">
        <v>9</v>
      </c>
      <c r="L4" s="32">
        <v>10</v>
      </c>
      <c r="M4" s="32">
        <v>11</v>
      </c>
      <c r="N4" s="32">
        <v>12</v>
      </c>
      <c r="O4" s="32">
        <v>13</v>
      </c>
      <c r="P4" s="32">
        <v>14</v>
      </c>
      <c r="Q4" s="32">
        <v>15</v>
      </c>
      <c r="R4" s="32">
        <v>16</v>
      </c>
      <c r="S4" s="32">
        <v>17</v>
      </c>
    </row>
    <row r="5" spans="1:19" x14ac:dyDescent="0.25">
      <c r="A5" s="144"/>
      <c r="B5" s="145" t="s">
        <v>29</v>
      </c>
      <c r="C5" s="145" t="s">
        <v>99</v>
      </c>
      <c r="D5" s="145">
        <v>1942</v>
      </c>
      <c r="E5" s="145">
        <v>1943</v>
      </c>
      <c r="F5" s="145">
        <v>1944</v>
      </c>
      <c r="G5" s="145">
        <v>1945</v>
      </c>
      <c r="H5" s="145">
        <v>1946</v>
      </c>
      <c r="I5" s="145">
        <v>1947</v>
      </c>
      <c r="J5" s="145">
        <v>1948</v>
      </c>
      <c r="K5" s="145" t="s">
        <v>100</v>
      </c>
      <c r="L5" s="200">
        <v>1942</v>
      </c>
      <c r="M5" s="145">
        <v>1943</v>
      </c>
      <c r="N5" s="145">
        <v>1944</v>
      </c>
      <c r="O5" s="145">
        <v>1945</v>
      </c>
      <c r="P5" s="145">
        <v>1946</v>
      </c>
      <c r="Q5" s="145">
        <v>1947</v>
      </c>
      <c r="R5" s="145">
        <v>1948</v>
      </c>
      <c r="S5" s="145" t="s">
        <v>100</v>
      </c>
    </row>
    <row r="6" spans="1:19" x14ac:dyDescent="0.25">
      <c r="A6" s="144" t="s">
        <v>296</v>
      </c>
      <c r="B6" s="145">
        <v>58</v>
      </c>
      <c r="C6" s="146">
        <v>158</v>
      </c>
      <c r="D6" s="147">
        <v>0</v>
      </c>
      <c r="E6" s="147">
        <v>0</v>
      </c>
      <c r="F6" s="147">
        <v>0</v>
      </c>
      <c r="G6" s="147">
        <v>0</v>
      </c>
      <c r="H6" s="147">
        <v>0</v>
      </c>
      <c r="I6" s="147">
        <v>0</v>
      </c>
      <c r="J6" s="147">
        <v>0</v>
      </c>
      <c r="K6" s="147">
        <v>5.75</v>
      </c>
      <c r="L6" s="201"/>
      <c r="M6" s="202"/>
      <c r="N6" s="202"/>
      <c r="O6" s="202"/>
      <c r="P6" s="202"/>
      <c r="Q6" s="202"/>
      <c r="R6" s="202"/>
      <c r="S6" s="202"/>
    </row>
    <row r="7" spans="1:19" x14ac:dyDescent="0.25">
      <c r="A7" s="144"/>
      <c r="B7" s="145">
        <v>59</v>
      </c>
      <c r="C7" s="146">
        <v>159</v>
      </c>
      <c r="D7" s="147">
        <v>0</v>
      </c>
      <c r="E7" s="147">
        <v>0</v>
      </c>
      <c r="F7" s="147">
        <v>0</v>
      </c>
      <c r="G7" s="147">
        <v>0</v>
      </c>
      <c r="H7" s="147">
        <v>0</v>
      </c>
      <c r="I7" s="147">
        <v>0</v>
      </c>
      <c r="J7" s="147">
        <v>0</v>
      </c>
      <c r="K7" s="147">
        <v>5.95</v>
      </c>
      <c r="L7" s="201"/>
      <c r="M7" s="202"/>
      <c r="N7" s="202"/>
      <c r="O7" s="202"/>
      <c r="P7" s="202"/>
      <c r="Q7" s="202"/>
      <c r="R7" s="202"/>
      <c r="S7" s="202"/>
    </row>
    <row r="8" spans="1:19" x14ac:dyDescent="0.25">
      <c r="A8" s="144"/>
      <c r="B8" s="145">
        <v>60</v>
      </c>
      <c r="C8" s="146">
        <v>160</v>
      </c>
      <c r="D8" s="147">
        <v>0</v>
      </c>
      <c r="E8" s="147">
        <v>0</v>
      </c>
      <c r="F8" s="147">
        <v>0</v>
      </c>
      <c r="G8" s="147">
        <v>0</v>
      </c>
      <c r="H8" s="147">
        <v>0</v>
      </c>
      <c r="I8" s="147">
        <v>0</v>
      </c>
      <c r="J8" s="147">
        <v>0</v>
      </c>
      <c r="K8" s="147">
        <v>6.05</v>
      </c>
      <c r="L8" s="201"/>
      <c r="M8" s="202"/>
      <c r="N8" s="202"/>
      <c r="O8" s="202"/>
      <c r="P8" s="202"/>
      <c r="Q8" s="202"/>
      <c r="R8" s="202"/>
      <c r="S8" s="202"/>
    </row>
    <row r="9" spans="1:19" x14ac:dyDescent="0.25">
      <c r="A9" s="144"/>
      <c r="B9" s="145">
        <v>61</v>
      </c>
      <c r="C9" s="146">
        <v>161</v>
      </c>
      <c r="D9" s="147">
        <v>0</v>
      </c>
      <c r="E9" s="147">
        <v>0</v>
      </c>
      <c r="F9" s="147">
        <v>0</v>
      </c>
      <c r="G9" s="147">
        <v>0</v>
      </c>
      <c r="H9" s="147">
        <v>0</v>
      </c>
      <c r="I9" s="147">
        <v>0</v>
      </c>
      <c r="J9" s="147">
        <v>0</v>
      </c>
      <c r="K9" s="148">
        <v>6.2</v>
      </c>
      <c r="L9" s="201"/>
      <c r="M9" s="202"/>
      <c r="N9" s="202"/>
      <c r="O9" s="202"/>
      <c r="P9" s="202"/>
      <c r="Q9" s="202"/>
      <c r="R9" s="202"/>
      <c r="S9" s="202"/>
    </row>
    <row r="10" spans="1:19" x14ac:dyDescent="0.25">
      <c r="A10" s="144"/>
      <c r="B10" s="145">
        <v>62</v>
      </c>
      <c r="C10" s="146">
        <v>162</v>
      </c>
      <c r="D10" s="147">
        <v>0</v>
      </c>
      <c r="E10" s="147">
        <v>0</v>
      </c>
      <c r="F10" s="147">
        <v>0</v>
      </c>
      <c r="G10" s="147">
        <v>0</v>
      </c>
      <c r="H10" s="147">
        <v>0</v>
      </c>
      <c r="I10" s="147">
        <v>0</v>
      </c>
      <c r="J10" s="148">
        <v>6.36</v>
      </c>
      <c r="K10" s="147">
        <v>6.35</v>
      </c>
      <c r="L10" s="201"/>
      <c r="M10" s="202"/>
      <c r="N10" s="202"/>
      <c r="O10" s="202"/>
      <c r="P10" s="202"/>
      <c r="Q10" s="202"/>
      <c r="R10" s="202"/>
      <c r="S10" s="202"/>
    </row>
    <row r="11" spans="1:19" x14ac:dyDescent="0.25">
      <c r="A11" s="144"/>
      <c r="B11" s="145">
        <v>63</v>
      </c>
      <c r="C11" s="146">
        <v>163</v>
      </c>
      <c r="D11" s="147">
        <v>0</v>
      </c>
      <c r="E11" s="147">
        <v>0</v>
      </c>
      <c r="F11" s="147">
        <v>0</v>
      </c>
      <c r="G11" s="147">
        <v>0</v>
      </c>
      <c r="H11" s="147">
        <v>0</v>
      </c>
      <c r="I11" s="148">
        <v>6.56</v>
      </c>
      <c r="J11" s="148">
        <v>6.51</v>
      </c>
      <c r="K11" s="147">
        <v>6.5</v>
      </c>
      <c r="L11" s="201"/>
      <c r="M11" s="202"/>
      <c r="N11" s="202"/>
      <c r="O11" s="202"/>
      <c r="P11" s="202"/>
      <c r="Q11" s="202"/>
      <c r="R11" s="202"/>
      <c r="S11" s="202"/>
    </row>
    <row r="12" spans="1:19" x14ac:dyDescent="0.25">
      <c r="A12" s="144"/>
      <c r="B12" s="145">
        <v>64</v>
      </c>
      <c r="C12" s="146">
        <v>164</v>
      </c>
      <c r="D12" s="147">
        <v>0</v>
      </c>
      <c r="E12" s="147">
        <v>0</v>
      </c>
      <c r="F12" s="147">
        <v>0</v>
      </c>
      <c r="G12" s="147">
        <v>0</v>
      </c>
      <c r="H12" s="148">
        <v>6.78</v>
      </c>
      <c r="I12" s="148">
        <v>6.72</v>
      </c>
      <c r="J12" s="147">
        <v>6.68</v>
      </c>
      <c r="K12" s="147">
        <v>6.65</v>
      </c>
      <c r="L12" s="201">
        <v>0</v>
      </c>
      <c r="M12" s="202">
        <v>0</v>
      </c>
      <c r="N12" s="202">
        <v>0</v>
      </c>
      <c r="O12" s="202">
        <v>0</v>
      </c>
      <c r="P12" s="202">
        <v>0</v>
      </c>
      <c r="Q12" s="202">
        <v>0</v>
      </c>
      <c r="R12" s="202">
        <v>0</v>
      </c>
      <c r="S12" s="202">
        <v>0</v>
      </c>
    </row>
    <row r="13" spans="1:19" x14ac:dyDescent="0.25">
      <c r="A13" s="144"/>
      <c r="B13" s="145">
        <v>65</v>
      </c>
      <c r="C13" s="146">
        <v>165</v>
      </c>
      <c r="D13" s="147">
        <v>0</v>
      </c>
      <c r="E13" s="147">
        <v>0</v>
      </c>
      <c r="F13" s="147">
        <v>0</v>
      </c>
      <c r="G13" s="148">
        <v>7</v>
      </c>
      <c r="H13" s="148">
        <v>6.95</v>
      </c>
      <c r="I13" s="147">
        <v>6.9</v>
      </c>
      <c r="J13" s="147">
        <v>6.85</v>
      </c>
      <c r="K13" s="147">
        <v>6.8</v>
      </c>
      <c r="L13" s="201">
        <v>7.1</v>
      </c>
      <c r="M13" s="202">
        <v>7.05</v>
      </c>
      <c r="N13" s="202">
        <v>7.05</v>
      </c>
      <c r="O13" s="202">
        <v>7</v>
      </c>
      <c r="P13" s="202">
        <v>6.95</v>
      </c>
      <c r="Q13" s="202">
        <v>6.9</v>
      </c>
      <c r="R13" s="202">
        <v>6.85</v>
      </c>
      <c r="S13" s="202">
        <v>6.8</v>
      </c>
    </row>
    <row r="14" spans="1:19" x14ac:dyDescent="0.25">
      <c r="A14" s="144"/>
      <c r="B14" s="145">
        <v>66</v>
      </c>
      <c r="C14" s="146">
        <v>166</v>
      </c>
      <c r="D14" s="147">
        <v>0</v>
      </c>
      <c r="E14" s="147">
        <v>0</v>
      </c>
      <c r="F14" s="148">
        <v>7.24</v>
      </c>
      <c r="G14" s="148">
        <v>7.19</v>
      </c>
      <c r="H14" s="147">
        <v>7.14</v>
      </c>
      <c r="I14" s="147">
        <v>7.09</v>
      </c>
      <c r="J14" s="147">
        <v>7.04</v>
      </c>
      <c r="K14" s="147">
        <v>6.99</v>
      </c>
      <c r="L14" s="201">
        <v>7.1</v>
      </c>
      <c r="M14" s="202">
        <v>7.05</v>
      </c>
      <c r="N14" s="202">
        <v>7.05</v>
      </c>
      <c r="O14" s="202">
        <v>7</v>
      </c>
      <c r="P14" s="202">
        <v>6.95</v>
      </c>
      <c r="Q14" s="202">
        <v>6.9</v>
      </c>
      <c r="R14" s="202">
        <v>6.85</v>
      </c>
      <c r="S14" s="202">
        <v>6.8</v>
      </c>
    </row>
    <row r="15" spans="1:19" x14ac:dyDescent="0.25">
      <c r="A15" s="144"/>
      <c r="B15" s="145">
        <v>67</v>
      </c>
      <c r="C15" s="146">
        <v>167</v>
      </c>
      <c r="D15" s="147">
        <v>0</v>
      </c>
      <c r="E15" s="148">
        <v>7.45</v>
      </c>
      <c r="F15" s="148">
        <v>7.45</v>
      </c>
      <c r="G15" s="147">
        <v>7.4</v>
      </c>
      <c r="H15" s="147">
        <v>7.35</v>
      </c>
      <c r="I15" s="147">
        <v>7.29</v>
      </c>
      <c r="J15" s="147">
        <v>7.24</v>
      </c>
      <c r="K15" s="147">
        <v>7.18</v>
      </c>
      <c r="L15" s="201">
        <v>7.1</v>
      </c>
      <c r="M15" s="202">
        <v>7.05</v>
      </c>
      <c r="N15" s="202">
        <v>7.05</v>
      </c>
      <c r="O15" s="202">
        <v>7</v>
      </c>
      <c r="P15" s="202">
        <v>6.95</v>
      </c>
      <c r="Q15" s="202">
        <v>6.9</v>
      </c>
      <c r="R15" s="202">
        <v>6.85</v>
      </c>
      <c r="S15" s="202">
        <v>6.8</v>
      </c>
    </row>
    <row r="16" spans="1:19" x14ac:dyDescent="0.25">
      <c r="A16" s="144"/>
      <c r="B16" s="145">
        <v>68</v>
      </c>
      <c r="C16" s="146">
        <v>168</v>
      </c>
      <c r="D16" s="148">
        <v>7.73</v>
      </c>
      <c r="E16" s="148">
        <v>7.67</v>
      </c>
      <c r="F16" s="147">
        <v>7.67</v>
      </c>
      <c r="G16" s="147">
        <v>7.62</v>
      </c>
      <c r="H16" s="147">
        <v>7.57</v>
      </c>
      <c r="I16" s="147">
        <v>7.51</v>
      </c>
      <c r="J16" s="147">
        <v>7.46</v>
      </c>
      <c r="K16" s="147">
        <v>7.4</v>
      </c>
      <c r="L16" s="201">
        <v>7.1</v>
      </c>
      <c r="M16" s="202">
        <v>7.05</v>
      </c>
      <c r="N16" s="202">
        <v>7.05</v>
      </c>
      <c r="O16" s="202">
        <v>7</v>
      </c>
      <c r="P16" s="202">
        <v>6.95</v>
      </c>
      <c r="Q16" s="202">
        <v>6.9</v>
      </c>
      <c r="R16" s="202">
        <v>6.85</v>
      </c>
      <c r="S16" s="202">
        <v>6.8</v>
      </c>
    </row>
    <row r="17" spans="1:19" x14ac:dyDescent="0.25">
      <c r="A17" s="144"/>
      <c r="B17" s="145">
        <v>69</v>
      </c>
      <c r="C17" s="146">
        <v>169</v>
      </c>
      <c r="D17" s="148">
        <v>7.97</v>
      </c>
      <c r="E17" s="147">
        <v>7.91</v>
      </c>
      <c r="F17" s="147">
        <v>7.91</v>
      </c>
      <c r="G17" s="147">
        <v>7.86</v>
      </c>
      <c r="H17" s="147">
        <v>7.81</v>
      </c>
      <c r="I17" s="147">
        <v>7.74</v>
      </c>
      <c r="J17" s="147">
        <v>7.69</v>
      </c>
      <c r="K17" s="147">
        <v>7.63</v>
      </c>
      <c r="L17" s="201">
        <v>7.1</v>
      </c>
      <c r="M17" s="202">
        <v>7.05</v>
      </c>
      <c r="N17" s="202">
        <v>7.05</v>
      </c>
      <c r="O17" s="202">
        <v>7</v>
      </c>
      <c r="P17" s="202">
        <v>6.95</v>
      </c>
      <c r="Q17" s="202">
        <v>6.9</v>
      </c>
      <c r="R17" s="202">
        <v>6.85</v>
      </c>
      <c r="S17" s="202">
        <v>6.8</v>
      </c>
    </row>
    <row r="18" spans="1:19" x14ac:dyDescent="0.25">
      <c r="A18" s="144"/>
      <c r="B18" s="145">
        <v>70</v>
      </c>
      <c r="C18" s="146">
        <v>170</v>
      </c>
      <c r="D18" s="147">
        <v>8.23</v>
      </c>
      <c r="E18" s="147">
        <v>8.17</v>
      </c>
      <c r="F18" s="147">
        <v>8.17</v>
      </c>
      <c r="G18" s="147">
        <v>8.1199999999999992</v>
      </c>
      <c r="H18" s="147">
        <v>8.06</v>
      </c>
      <c r="I18" s="147">
        <v>8</v>
      </c>
      <c r="J18" s="147">
        <v>7.94</v>
      </c>
      <c r="K18" s="147">
        <v>7.88</v>
      </c>
      <c r="L18" s="201">
        <v>7.1</v>
      </c>
      <c r="M18" s="202">
        <v>7.05</v>
      </c>
      <c r="N18" s="202">
        <v>7.05</v>
      </c>
      <c r="O18" s="202">
        <v>7</v>
      </c>
      <c r="P18" s="202">
        <v>6.95</v>
      </c>
      <c r="Q18" s="202">
        <v>6.9</v>
      </c>
      <c r="R18" s="202">
        <v>6.85</v>
      </c>
      <c r="S18" s="202">
        <v>6.8</v>
      </c>
    </row>
    <row r="19" spans="1:19" x14ac:dyDescent="0.25">
      <c r="A19" s="154" t="s">
        <v>297</v>
      </c>
      <c r="B19" s="155">
        <v>58</v>
      </c>
      <c r="C19" s="156">
        <v>258</v>
      </c>
      <c r="D19" s="158">
        <v>0</v>
      </c>
      <c r="E19" s="158">
        <v>0</v>
      </c>
      <c r="F19" s="158">
        <v>0</v>
      </c>
      <c r="G19" s="158">
        <v>0</v>
      </c>
      <c r="H19" s="158">
        <v>0</v>
      </c>
      <c r="I19" s="158">
        <v>0</v>
      </c>
      <c r="J19" s="158">
        <v>0</v>
      </c>
      <c r="K19" s="158">
        <v>5.88</v>
      </c>
      <c r="L19" s="203"/>
      <c r="M19" s="204"/>
      <c r="N19" s="204"/>
      <c r="O19" s="204"/>
      <c r="P19" s="204"/>
      <c r="Q19" s="204"/>
      <c r="R19" s="204"/>
      <c r="S19" s="204"/>
    </row>
    <row r="20" spans="1:19" x14ac:dyDescent="0.25">
      <c r="A20" s="154"/>
      <c r="B20" s="155">
        <v>59</v>
      </c>
      <c r="C20" s="156">
        <v>259</v>
      </c>
      <c r="D20" s="158">
        <v>0</v>
      </c>
      <c r="E20" s="158">
        <v>0</v>
      </c>
      <c r="F20" s="158">
        <v>0</v>
      </c>
      <c r="G20" s="158">
        <v>0</v>
      </c>
      <c r="H20" s="158">
        <v>0</v>
      </c>
      <c r="I20" s="158">
        <v>0</v>
      </c>
      <c r="J20" s="158">
        <v>0</v>
      </c>
      <c r="K20" s="158">
        <v>6.02</v>
      </c>
      <c r="L20" s="203"/>
      <c r="M20" s="204"/>
      <c r="N20" s="204"/>
      <c r="O20" s="204"/>
      <c r="P20" s="204"/>
      <c r="Q20" s="204"/>
      <c r="R20" s="204"/>
      <c r="S20" s="204"/>
    </row>
    <row r="21" spans="1:19" x14ac:dyDescent="0.25">
      <c r="A21" s="154"/>
      <c r="B21" s="155">
        <v>60</v>
      </c>
      <c r="C21" s="156">
        <v>260</v>
      </c>
      <c r="D21" s="158">
        <v>0</v>
      </c>
      <c r="E21" s="158">
        <v>0</v>
      </c>
      <c r="F21" s="158">
        <v>0</v>
      </c>
      <c r="G21" s="158">
        <v>0</v>
      </c>
      <c r="H21" s="158">
        <v>0</v>
      </c>
      <c r="I21" s="158">
        <v>0</v>
      </c>
      <c r="J21" s="158">
        <v>0</v>
      </c>
      <c r="K21" s="158">
        <v>6.16</v>
      </c>
      <c r="L21" s="203"/>
      <c r="M21" s="204"/>
      <c r="N21" s="204"/>
      <c r="O21" s="204"/>
      <c r="P21" s="204"/>
      <c r="Q21" s="204"/>
      <c r="R21" s="204"/>
      <c r="S21" s="204"/>
    </row>
    <row r="22" spans="1:19" x14ac:dyDescent="0.25">
      <c r="A22" s="154"/>
      <c r="B22" s="155">
        <v>61</v>
      </c>
      <c r="C22" s="156">
        <v>261</v>
      </c>
      <c r="D22" s="158">
        <v>0</v>
      </c>
      <c r="E22" s="158">
        <v>0</v>
      </c>
      <c r="F22" s="158">
        <v>0</v>
      </c>
      <c r="G22" s="158">
        <v>0</v>
      </c>
      <c r="H22" s="158">
        <v>0</v>
      </c>
      <c r="I22" s="158">
        <v>0</v>
      </c>
      <c r="J22" s="158">
        <v>0</v>
      </c>
      <c r="K22" s="158">
        <v>6.31</v>
      </c>
      <c r="L22" s="203"/>
      <c r="M22" s="204"/>
      <c r="N22" s="204"/>
      <c r="O22" s="204"/>
      <c r="P22" s="204"/>
      <c r="Q22" s="204"/>
      <c r="R22" s="204"/>
      <c r="S22" s="204"/>
    </row>
    <row r="23" spans="1:19" x14ac:dyDescent="0.25">
      <c r="A23" s="154"/>
      <c r="B23" s="155">
        <v>62</v>
      </c>
      <c r="C23" s="156">
        <v>262</v>
      </c>
      <c r="D23" s="158">
        <v>0</v>
      </c>
      <c r="E23" s="158">
        <v>0</v>
      </c>
      <c r="F23" s="158">
        <v>0</v>
      </c>
      <c r="G23" s="158">
        <v>0</v>
      </c>
      <c r="H23" s="158">
        <v>0</v>
      </c>
      <c r="I23" s="158">
        <v>0</v>
      </c>
      <c r="J23" s="159">
        <v>6.51</v>
      </c>
      <c r="K23" s="158">
        <v>6.46</v>
      </c>
      <c r="L23" s="203"/>
      <c r="M23" s="204"/>
      <c r="N23" s="204"/>
      <c r="O23" s="204"/>
      <c r="P23" s="204"/>
      <c r="Q23" s="204"/>
      <c r="R23" s="204"/>
      <c r="S23" s="204"/>
    </row>
    <row r="24" spans="1:19" x14ac:dyDescent="0.25">
      <c r="A24" s="154"/>
      <c r="B24" s="155">
        <v>63</v>
      </c>
      <c r="C24" s="156">
        <v>263</v>
      </c>
      <c r="D24" s="158">
        <v>0</v>
      </c>
      <c r="E24" s="158">
        <v>0</v>
      </c>
      <c r="F24" s="158">
        <v>0</v>
      </c>
      <c r="G24" s="158">
        <v>0</v>
      </c>
      <c r="H24" s="158">
        <v>0</v>
      </c>
      <c r="I24" s="159">
        <v>6.72</v>
      </c>
      <c r="J24" s="159">
        <v>6.68</v>
      </c>
      <c r="K24" s="158">
        <v>6.63</v>
      </c>
      <c r="L24" s="203"/>
      <c r="M24" s="204"/>
      <c r="N24" s="204"/>
      <c r="O24" s="204"/>
      <c r="P24" s="204"/>
      <c r="Q24" s="204"/>
      <c r="R24" s="204"/>
      <c r="S24" s="204"/>
    </row>
    <row r="25" spans="1:19" x14ac:dyDescent="0.25">
      <c r="A25" s="154"/>
      <c r="B25" s="155">
        <v>64</v>
      </c>
      <c r="C25" s="156">
        <v>264</v>
      </c>
      <c r="D25" s="158">
        <v>0</v>
      </c>
      <c r="E25" s="158">
        <v>0</v>
      </c>
      <c r="F25" s="158">
        <v>0</v>
      </c>
      <c r="G25" s="158">
        <v>0</v>
      </c>
      <c r="H25" s="159">
        <v>6.95</v>
      </c>
      <c r="I25" s="159">
        <v>6.9</v>
      </c>
      <c r="J25" s="158">
        <v>6.85</v>
      </c>
      <c r="K25" s="158">
        <v>6.8</v>
      </c>
      <c r="L25" s="203">
        <v>7.2</v>
      </c>
      <c r="M25" s="204">
        <v>7.15</v>
      </c>
      <c r="N25" s="204">
        <v>7.1</v>
      </c>
      <c r="O25" s="204">
        <v>7</v>
      </c>
      <c r="P25" s="204">
        <v>6.95</v>
      </c>
      <c r="Q25" s="204">
        <v>6.9</v>
      </c>
      <c r="R25" s="204">
        <v>6.85</v>
      </c>
      <c r="S25" s="204">
        <v>6.8</v>
      </c>
    </row>
    <row r="26" spans="1:19" x14ac:dyDescent="0.25">
      <c r="A26" s="154"/>
      <c r="B26" s="155">
        <v>65</v>
      </c>
      <c r="C26" s="156">
        <v>265</v>
      </c>
      <c r="D26" s="158">
        <v>0</v>
      </c>
      <c r="E26" s="158">
        <v>0</v>
      </c>
      <c r="F26" s="158">
        <v>0</v>
      </c>
      <c r="G26" s="159">
        <v>7.19</v>
      </c>
      <c r="H26" s="159">
        <v>7.14</v>
      </c>
      <c r="I26" s="158">
        <v>7.09</v>
      </c>
      <c r="J26" s="158">
        <v>7.04</v>
      </c>
      <c r="K26" s="158">
        <v>6.99</v>
      </c>
      <c r="L26" s="203">
        <v>7.2</v>
      </c>
      <c r="M26" s="204">
        <v>7.15</v>
      </c>
      <c r="N26" s="204">
        <v>7.1</v>
      </c>
      <c r="O26" s="204">
        <v>7</v>
      </c>
      <c r="P26" s="204">
        <v>6.95</v>
      </c>
      <c r="Q26" s="204">
        <v>6.9</v>
      </c>
      <c r="R26" s="204">
        <v>6.85</v>
      </c>
      <c r="S26" s="204">
        <v>6.8</v>
      </c>
    </row>
    <row r="27" spans="1:19" x14ac:dyDescent="0.25">
      <c r="A27" s="154"/>
      <c r="B27" s="155">
        <v>66</v>
      </c>
      <c r="C27" s="156">
        <v>266</v>
      </c>
      <c r="D27" s="158">
        <v>0</v>
      </c>
      <c r="E27" s="158">
        <v>0</v>
      </c>
      <c r="F27" s="159">
        <v>7.47</v>
      </c>
      <c r="G27" s="159">
        <v>7.4</v>
      </c>
      <c r="H27" s="158">
        <v>7.35</v>
      </c>
      <c r="I27" s="158">
        <v>7.29</v>
      </c>
      <c r="J27" s="158">
        <v>7.24</v>
      </c>
      <c r="K27" s="158">
        <v>7.18</v>
      </c>
      <c r="L27" s="203">
        <v>7.2</v>
      </c>
      <c r="M27" s="204">
        <v>7.15</v>
      </c>
      <c r="N27" s="204">
        <v>7.1</v>
      </c>
      <c r="O27" s="204">
        <v>7</v>
      </c>
      <c r="P27" s="204">
        <v>6.95</v>
      </c>
      <c r="Q27" s="204">
        <v>6.9</v>
      </c>
      <c r="R27" s="204">
        <v>6.85</v>
      </c>
      <c r="S27" s="204">
        <v>6.8</v>
      </c>
    </row>
    <row r="28" spans="1:19" x14ac:dyDescent="0.25">
      <c r="A28" s="154"/>
      <c r="B28" s="155">
        <v>67</v>
      </c>
      <c r="C28" s="156">
        <v>267</v>
      </c>
      <c r="D28" s="158">
        <v>0</v>
      </c>
      <c r="E28" s="159">
        <v>7.73</v>
      </c>
      <c r="F28" s="159">
        <v>7.67</v>
      </c>
      <c r="G28" s="158">
        <v>7.62</v>
      </c>
      <c r="H28" s="158">
        <v>7.57</v>
      </c>
      <c r="I28" s="158">
        <v>7.51</v>
      </c>
      <c r="J28" s="158">
        <v>7.46</v>
      </c>
      <c r="K28" s="158">
        <v>7.4</v>
      </c>
      <c r="L28" s="203">
        <v>7.2</v>
      </c>
      <c r="M28" s="204">
        <v>7.15</v>
      </c>
      <c r="N28" s="204">
        <v>7.1</v>
      </c>
      <c r="O28" s="204">
        <v>7</v>
      </c>
      <c r="P28" s="204">
        <v>6.95</v>
      </c>
      <c r="Q28" s="204">
        <v>6.9</v>
      </c>
      <c r="R28" s="204">
        <v>6.85</v>
      </c>
      <c r="S28" s="204">
        <v>6.8</v>
      </c>
    </row>
    <row r="29" spans="1:19" x14ac:dyDescent="0.25">
      <c r="A29" s="154"/>
      <c r="B29" s="155">
        <v>68</v>
      </c>
      <c r="C29" s="156">
        <v>268</v>
      </c>
      <c r="D29" s="159">
        <v>8.02</v>
      </c>
      <c r="E29" s="159">
        <v>7.96</v>
      </c>
      <c r="F29" s="158">
        <v>7.9</v>
      </c>
      <c r="G29" s="158">
        <v>7.86</v>
      </c>
      <c r="H29" s="158">
        <v>7.81</v>
      </c>
      <c r="I29" s="158">
        <v>7.74</v>
      </c>
      <c r="J29" s="158">
        <v>7.69</v>
      </c>
      <c r="K29" s="158">
        <v>7.63</v>
      </c>
      <c r="L29" s="203">
        <v>7.2</v>
      </c>
      <c r="M29" s="204">
        <v>7.15</v>
      </c>
      <c r="N29" s="204">
        <v>7.1</v>
      </c>
      <c r="O29" s="204">
        <v>7</v>
      </c>
      <c r="P29" s="204">
        <v>6.95</v>
      </c>
      <c r="Q29" s="204">
        <v>6.9</v>
      </c>
      <c r="R29" s="204">
        <v>6.85</v>
      </c>
      <c r="S29" s="204">
        <v>6.8</v>
      </c>
    </row>
    <row r="30" spans="1:19" x14ac:dyDescent="0.25">
      <c r="A30" s="154"/>
      <c r="B30" s="155">
        <v>69</v>
      </c>
      <c r="C30" s="156">
        <v>269</v>
      </c>
      <c r="D30" s="159">
        <v>8.27</v>
      </c>
      <c r="E30" s="158">
        <v>8.2100000000000009</v>
      </c>
      <c r="F30" s="158">
        <v>8.15</v>
      </c>
      <c r="G30" s="158">
        <v>8.1199999999999992</v>
      </c>
      <c r="H30" s="158">
        <v>8.06</v>
      </c>
      <c r="I30" s="158">
        <v>8</v>
      </c>
      <c r="J30" s="158">
        <v>7.94</v>
      </c>
      <c r="K30" s="158">
        <v>7.88</v>
      </c>
      <c r="L30" s="203">
        <v>7.2</v>
      </c>
      <c r="M30" s="204">
        <v>7.15</v>
      </c>
      <c r="N30" s="204">
        <v>7.1</v>
      </c>
      <c r="O30" s="204">
        <v>7</v>
      </c>
      <c r="P30" s="204">
        <v>6.95</v>
      </c>
      <c r="Q30" s="204">
        <v>6.9</v>
      </c>
      <c r="R30" s="204">
        <v>6.85</v>
      </c>
      <c r="S30" s="204">
        <v>6.8</v>
      </c>
    </row>
    <row r="31" spans="1:19" x14ac:dyDescent="0.25">
      <c r="A31" s="154"/>
      <c r="B31" s="155">
        <v>70</v>
      </c>
      <c r="C31" s="156">
        <v>270</v>
      </c>
      <c r="D31" s="158">
        <v>8.5399999999999991</v>
      </c>
      <c r="E31" s="158">
        <v>8.48</v>
      </c>
      <c r="F31" s="158">
        <v>8.42</v>
      </c>
      <c r="G31" s="158">
        <v>8.39</v>
      </c>
      <c r="H31" s="158">
        <v>8.34</v>
      </c>
      <c r="I31" s="158">
        <v>8.27</v>
      </c>
      <c r="J31" s="158">
        <v>8.2200000000000006</v>
      </c>
      <c r="K31" s="158">
        <v>8.15</v>
      </c>
      <c r="L31" s="203">
        <v>7.2</v>
      </c>
      <c r="M31" s="204">
        <v>7.15</v>
      </c>
      <c r="N31" s="204">
        <v>7.1</v>
      </c>
      <c r="O31" s="204">
        <v>7</v>
      </c>
      <c r="P31" s="204">
        <v>6.95</v>
      </c>
      <c r="Q31" s="204">
        <v>6.9</v>
      </c>
      <c r="R31" s="204">
        <v>6.85</v>
      </c>
      <c r="S31" s="204">
        <v>6.8</v>
      </c>
    </row>
    <row r="32" spans="1:19" x14ac:dyDescent="0.25">
      <c r="B32" s="29"/>
    </row>
    <row r="33" spans="1:18" ht="15.6" x14ac:dyDescent="0.3">
      <c r="A33" s="78" t="s">
        <v>298</v>
      </c>
      <c r="F33" s="128" t="s">
        <v>305</v>
      </c>
      <c r="H33" s="123"/>
      <c r="I33" s="33"/>
      <c r="J33" s="33"/>
      <c r="K33" s="33"/>
    </row>
    <row r="34" spans="1:18" s="31" customFormat="1" ht="12.75" customHeight="1" x14ac:dyDescent="0.2">
      <c r="A34" s="32">
        <v>1</v>
      </c>
      <c r="B34" s="32">
        <v>2</v>
      </c>
      <c r="C34" s="32">
        <v>3</v>
      </c>
      <c r="D34" s="32">
        <v>4</v>
      </c>
      <c r="E34" s="32">
        <v>5</v>
      </c>
      <c r="F34" s="121">
        <v>6</v>
      </c>
      <c r="H34" s="123"/>
      <c r="I34" s="33"/>
      <c r="J34" s="33"/>
      <c r="K34" s="33"/>
    </row>
    <row r="35" spans="1:18" x14ac:dyDescent="0.25">
      <c r="A35" s="30"/>
      <c r="B35" s="119">
        <v>2015</v>
      </c>
      <c r="C35" s="119">
        <v>2016</v>
      </c>
      <c r="D35" s="119">
        <v>2017</v>
      </c>
      <c r="E35" s="119" t="s">
        <v>78</v>
      </c>
      <c r="F35" s="122"/>
      <c r="H35" s="123"/>
      <c r="I35" s="33"/>
      <c r="J35" s="33"/>
      <c r="K35" s="33"/>
    </row>
    <row r="36" spans="1:18" x14ac:dyDescent="0.25">
      <c r="A36" s="149">
        <v>58</v>
      </c>
      <c r="B36" s="150">
        <v>5.75</v>
      </c>
      <c r="C36" s="150">
        <v>5.55</v>
      </c>
      <c r="D36" s="150">
        <v>5.35</v>
      </c>
      <c r="E36" s="150">
        <v>5.15</v>
      </c>
      <c r="F36" s="151">
        <v>5.07</v>
      </c>
      <c r="H36" s="123"/>
      <c r="I36" s="33"/>
      <c r="J36" s="120"/>
      <c r="K36" s="184"/>
      <c r="L36" s="120"/>
      <c r="M36" s="184"/>
      <c r="N36" s="125"/>
      <c r="O36" s="125"/>
      <c r="P36" s="185"/>
      <c r="Q36" s="185"/>
      <c r="R36" s="185"/>
    </row>
    <row r="37" spans="1:18" x14ac:dyDescent="0.25">
      <c r="A37" s="149">
        <v>59</v>
      </c>
      <c r="B37" s="150">
        <v>5.95</v>
      </c>
      <c r="C37" s="150">
        <v>5.7</v>
      </c>
      <c r="D37" s="150">
        <v>5.5</v>
      </c>
      <c r="E37" s="150">
        <v>5.3</v>
      </c>
      <c r="F37" s="151">
        <v>5.19</v>
      </c>
      <c r="H37" s="123"/>
      <c r="I37" s="153"/>
      <c r="J37" s="120"/>
      <c r="K37" s="184"/>
      <c r="L37" s="120"/>
      <c r="M37" s="184"/>
      <c r="N37" s="130"/>
      <c r="O37" s="125"/>
      <c r="P37" s="125"/>
      <c r="Q37" s="125"/>
      <c r="R37" s="186"/>
    </row>
    <row r="38" spans="1:18" x14ac:dyDescent="0.25">
      <c r="A38" s="149">
        <v>60</v>
      </c>
      <c r="B38" s="150">
        <v>6.05</v>
      </c>
      <c r="C38" s="150">
        <v>5.85</v>
      </c>
      <c r="D38" s="150">
        <v>5.65</v>
      </c>
      <c r="E38" s="150">
        <v>5.45</v>
      </c>
      <c r="F38" s="151">
        <v>5.31</v>
      </c>
      <c r="H38" s="123"/>
      <c r="I38" s="153"/>
      <c r="J38" s="120"/>
      <c r="K38" s="184"/>
      <c r="L38" s="120"/>
      <c r="M38" s="184"/>
      <c r="N38" s="130"/>
      <c r="O38" s="125"/>
      <c r="P38" s="125"/>
      <c r="Q38" s="125"/>
      <c r="R38" s="186"/>
    </row>
    <row r="39" spans="1:18" x14ac:dyDescent="0.25">
      <c r="A39" s="149">
        <v>61</v>
      </c>
      <c r="B39" s="150">
        <v>6.2</v>
      </c>
      <c r="C39" s="150">
        <v>6</v>
      </c>
      <c r="D39" s="150">
        <v>5.8</v>
      </c>
      <c r="E39" s="150">
        <v>5.6</v>
      </c>
      <c r="F39" s="151">
        <v>5.44</v>
      </c>
      <c r="H39" s="123"/>
      <c r="I39" s="153"/>
      <c r="J39" s="120"/>
      <c r="K39" s="184"/>
      <c r="L39" s="120"/>
      <c r="M39" s="184"/>
      <c r="N39" s="130"/>
      <c r="O39" s="125"/>
      <c r="P39" s="125"/>
      <c r="Q39" s="125"/>
      <c r="R39" s="186"/>
    </row>
    <row r="40" spans="1:18" x14ac:dyDescent="0.25">
      <c r="A40" s="149">
        <v>62</v>
      </c>
      <c r="B40" s="150">
        <v>6.35</v>
      </c>
      <c r="C40" s="150">
        <v>6.15</v>
      </c>
      <c r="D40" s="150">
        <v>5.95</v>
      </c>
      <c r="E40" s="150">
        <v>5.75</v>
      </c>
      <c r="F40" s="151">
        <v>5.57</v>
      </c>
      <c r="H40" s="123"/>
      <c r="I40" s="153"/>
      <c r="J40" s="120"/>
      <c r="K40" s="184"/>
      <c r="L40" s="120"/>
      <c r="M40" s="184"/>
      <c r="N40" s="130"/>
      <c r="O40" s="125"/>
      <c r="P40" s="125"/>
      <c r="Q40" s="125"/>
      <c r="R40" s="186"/>
    </row>
    <row r="41" spans="1:18" x14ac:dyDescent="0.25">
      <c r="A41" s="149">
        <v>63</v>
      </c>
      <c r="B41" s="150">
        <v>6.5</v>
      </c>
      <c r="C41" s="150">
        <v>6.3</v>
      </c>
      <c r="D41" s="150">
        <v>6.1</v>
      </c>
      <c r="E41" s="150">
        <v>5.9</v>
      </c>
      <c r="F41" s="151">
        <v>5.71</v>
      </c>
      <c r="H41" s="124"/>
      <c r="I41" s="153"/>
      <c r="J41" s="120"/>
      <c r="K41" s="184"/>
      <c r="L41" s="120"/>
      <c r="M41" s="184"/>
      <c r="N41" s="130"/>
      <c r="O41" s="186"/>
      <c r="P41" s="185"/>
      <c r="Q41" s="185"/>
      <c r="R41" s="185"/>
    </row>
    <row r="42" spans="1:18" x14ac:dyDescent="0.25">
      <c r="A42" s="149">
        <v>64</v>
      </c>
      <c r="B42" s="150">
        <v>6.65</v>
      </c>
      <c r="C42" s="150">
        <v>6.45</v>
      </c>
      <c r="D42" s="150">
        <v>6.25</v>
      </c>
      <c r="E42" s="150">
        <v>6.05</v>
      </c>
      <c r="F42" s="151">
        <v>5.85</v>
      </c>
      <c r="J42" s="120"/>
      <c r="K42" s="120"/>
      <c r="L42" s="120"/>
      <c r="M42" s="184"/>
      <c r="N42" s="187"/>
      <c r="O42" s="185"/>
      <c r="P42" s="185"/>
      <c r="Q42" s="185"/>
      <c r="R42" s="185"/>
    </row>
    <row r="43" spans="1:18" x14ac:dyDescent="0.25">
      <c r="A43" s="149">
        <v>65</v>
      </c>
      <c r="B43" s="150">
        <v>6.8</v>
      </c>
      <c r="C43" s="150">
        <v>6.6</v>
      </c>
      <c r="D43" s="150">
        <v>6.4</v>
      </c>
      <c r="E43" s="150">
        <v>6.2</v>
      </c>
      <c r="F43" s="151">
        <v>6.01</v>
      </c>
      <c r="M43" s="129"/>
      <c r="N43" s="126"/>
      <c r="O43" s="127"/>
      <c r="P43" s="127"/>
      <c r="Q43" s="127"/>
      <c r="R43" s="127"/>
    </row>
    <row r="44" spans="1:18" x14ac:dyDescent="0.25">
      <c r="A44" s="149">
        <v>66</v>
      </c>
      <c r="B44" s="150">
        <v>6.95</v>
      </c>
      <c r="C44" s="150">
        <v>6.75</v>
      </c>
      <c r="D44" s="150">
        <v>6.55</v>
      </c>
      <c r="E44" s="150">
        <v>6.35</v>
      </c>
      <c r="F44" s="151">
        <v>6.17</v>
      </c>
      <c r="M44" s="129"/>
      <c r="N44" s="126"/>
      <c r="O44" s="127"/>
      <c r="P44" s="127"/>
      <c r="Q44" s="127"/>
      <c r="R44" s="127"/>
    </row>
    <row r="45" spans="1:18" x14ac:dyDescent="0.25">
      <c r="A45" s="149">
        <v>67</v>
      </c>
      <c r="B45" s="150">
        <v>7.1</v>
      </c>
      <c r="C45" s="150">
        <v>6.9</v>
      </c>
      <c r="D45" s="150">
        <v>6.7</v>
      </c>
      <c r="E45" s="150">
        <v>6.5</v>
      </c>
      <c r="F45" s="151">
        <v>6.34</v>
      </c>
    </row>
    <row r="46" spans="1:18" x14ac:dyDescent="0.25">
      <c r="A46" s="149">
        <v>68</v>
      </c>
      <c r="B46" s="150">
        <v>7.25</v>
      </c>
      <c r="C46" s="150">
        <v>7.05</v>
      </c>
      <c r="D46" s="150">
        <v>6.85</v>
      </c>
      <c r="E46" s="150">
        <v>6.6499999999999897</v>
      </c>
      <c r="F46" s="151">
        <v>6.53</v>
      </c>
    </row>
    <row r="47" spans="1:18" x14ac:dyDescent="0.25">
      <c r="A47" s="149">
        <v>69</v>
      </c>
      <c r="B47" s="150">
        <v>7.4</v>
      </c>
      <c r="C47" s="150">
        <v>7.2</v>
      </c>
      <c r="D47" s="150">
        <v>7</v>
      </c>
      <c r="E47" s="150">
        <v>6.7999999999999901</v>
      </c>
      <c r="F47" s="151">
        <v>6.73</v>
      </c>
    </row>
    <row r="48" spans="1:18" x14ac:dyDescent="0.25">
      <c r="A48" s="149">
        <v>70</v>
      </c>
      <c r="B48" s="150">
        <v>7.55</v>
      </c>
      <c r="C48" s="150">
        <v>7.35</v>
      </c>
      <c r="D48" s="150">
        <v>7.15</v>
      </c>
      <c r="E48" s="150">
        <v>6.9499999999999904</v>
      </c>
      <c r="F48" s="151">
        <v>6.95</v>
      </c>
    </row>
    <row r="49" spans="1:240" x14ac:dyDescent="0.25">
      <c r="B49" s="120"/>
      <c r="C49" s="120"/>
      <c r="D49" s="120"/>
      <c r="E49" s="120"/>
      <c r="F49" s="120"/>
    </row>
    <row r="50" spans="1:240" ht="13.8" thickBot="1" x14ac:dyDescent="0.3">
      <c r="A50" s="33"/>
      <c r="B50" s="133" t="s">
        <v>293</v>
      </c>
      <c r="C50" s="134" t="s">
        <v>294</v>
      </c>
      <c r="D50" s="133"/>
      <c r="E50" s="134" t="s">
        <v>288</v>
      </c>
      <c r="F50" s="135">
        <v>2011</v>
      </c>
      <c r="G50" s="135">
        <v>2012</v>
      </c>
      <c r="H50" s="136">
        <v>2013</v>
      </c>
      <c r="I50" s="136">
        <v>2014</v>
      </c>
      <c r="J50" s="136" t="s">
        <v>290</v>
      </c>
    </row>
    <row r="51" spans="1:240" x14ac:dyDescent="0.25">
      <c r="A51" s="153" t="s">
        <v>306</v>
      </c>
      <c r="B51" s="22" t="s">
        <v>269</v>
      </c>
      <c r="C51" s="129" t="s">
        <v>289</v>
      </c>
      <c r="E51" s="129" t="s">
        <v>289</v>
      </c>
      <c r="F51" s="191" t="s">
        <v>299</v>
      </c>
      <c r="G51" s="194" t="s">
        <v>299</v>
      </c>
      <c r="H51" s="194" t="s">
        <v>299</v>
      </c>
      <c r="I51" s="194" t="s">
        <v>299</v>
      </c>
      <c r="J51" s="197">
        <v>2</v>
      </c>
    </row>
    <row r="52" spans="1:240" x14ac:dyDescent="0.25">
      <c r="A52" s="153" t="s">
        <v>306</v>
      </c>
      <c r="B52" s="22" t="s">
        <v>287</v>
      </c>
      <c r="C52" s="129">
        <v>-50</v>
      </c>
      <c r="E52" s="129" t="s">
        <v>291</v>
      </c>
      <c r="F52" s="191" t="s">
        <v>299</v>
      </c>
      <c r="G52" s="194" t="s">
        <v>299</v>
      </c>
      <c r="H52" s="194" t="s">
        <v>299</v>
      </c>
      <c r="I52" s="194" t="s">
        <v>299</v>
      </c>
      <c r="J52" s="197">
        <v>2</v>
      </c>
    </row>
    <row r="53" spans="1:240" x14ac:dyDescent="0.25">
      <c r="A53" s="153" t="s">
        <v>306</v>
      </c>
      <c r="B53" s="131" t="s">
        <v>287</v>
      </c>
      <c r="C53" s="132">
        <v>-50</v>
      </c>
      <c r="D53" s="131"/>
      <c r="E53" s="132" t="s">
        <v>292</v>
      </c>
      <c r="F53" s="192" t="s">
        <v>299</v>
      </c>
      <c r="G53" s="195" t="s">
        <v>299</v>
      </c>
      <c r="H53" s="195" t="s">
        <v>299</v>
      </c>
      <c r="I53" s="195" t="s">
        <v>299</v>
      </c>
      <c r="J53" s="198">
        <v>2</v>
      </c>
    </row>
    <row r="54" spans="1:240" x14ac:dyDescent="0.25">
      <c r="A54" s="153" t="s">
        <v>307</v>
      </c>
      <c r="B54" s="137" t="s">
        <v>287</v>
      </c>
      <c r="C54" s="138" t="s">
        <v>270</v>
      </c>
      <c r="D54" s="137"/>
      <c r="E54" s="138" t="s">
        <v>291</v>
      </c>
      <c r="F54" s="193" t="s">
        <v>299</v>
      </c>
      <c r="G54" s="196" t="s">
        <v>299</v>
      </c>
      <c r="H54" s="196" t="s">
        <v>299</v>
      </c>
      <c r="I54" s="196" t="s">
        <v>299</v>
      </c>
      <c r="J54" s="188">
        <v>3</v>
      </c>
    </row>
    <row r="55" spans="1:240" x14ac:dyDescent="0.25">
      <c r="A55" s="153" t="s">
        <v>308</v>
      </c>
      <c r="B55" s="22" t="s">
        <v>287</v>
      </c>
      <c r="C55" s="129" t="s">
        <v>270</v>
      </c>
      <c r="E55" s="129" t="s">
        <v>292</v>
      </c>
      <c r="F55" s="199" t="s">
        <v>299</v>
      </c>
      <c r="G55" s="190">
        <v>3</v>
      </c>
      <c r="H55" s="189">
        <v>3</v>
      </c>
      <c r="I55" s="189">
        <v>3</v>
      </c>
      <c r="J55" s="189">
        <v>3</v>
      </c>
    </row>
    <row r="56" spans="1:240" x14ac:dyDescent="0.25">
      <c r="B56" s="120"/>
      <c r="C56" s="120"/>
      <c r="D56" s="120"/>
      <c r="E56" s="120"/>
      <c r="F56" s="120"/>
    </row>
    <row r="57" spans="1:240" x14ac:dyDescent="0.25">
      <c r="B57" s="120"/>
      <c r="C57" s="120"/>
      <c r="D57" s="120"/>
      <c r="E57" s="120"/>
      <c r="F57" s="120"/>
    </row>
    <row r="58" spans="1:240" x14ac:dyDescent="0.25">
      <c r="A58" s="139">
        <f>YEAR(Input!E11)</f>
        <v>1900</v>
      </c>
      <c r="B58" s="22" t="s">
        <v>304</v>
      </c>
      <c r="C58" s="139">
        <f>IF(A58&gt;1948,10,A58-1939)</f>
        <v>-39</v>
      </c>
      <c r="F58" s="126"/>
      <c r="G58" s="126"/>
      <c r="H58" s="126"/>
      <c r="I58" s="126"/>
      <c r="J58" s="126"/>
      <c r="K58" s="126"/>
    </row>
    <row r="59" spans="1:240" x14ac:dyDescent="0.25">
      <c r="A59" s="139">
        <f>Input!K3*100</f>
        <v>100</v>
      </c>
      <c r="B59" s="22" t="s">
        <v>3</v>
      </c>
      <c r="C59" s="120"/>
      <c r="F59" s="126"/>
      <c r="G59" s="126"/>
      <c r="H59" s="126"/>
      <c r="I59" s="126"/>
      <c r="J59" s="126"/>
      <c r="K59" s="126"/>
    </row>
    <row r="60" spans="1:240" s="141" customFormat="1" x14ac:dyDescent="0.25">
      <c r="A60" s="142">
        <f>Input!K6</f>
        <v>1</v>
      </c>
      <c r="B60" s="143" t="s">
        <v>303</v>
      </c>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c r="BX60" s="170"/>
      <c r="BY60" s="170"/>
      <c r="BZ60" s="170"/>
      <c r="CA60" s="170"/>
      <c r="CB60" s="170"/>
      <c r="CC60" s="170"/>
      <c r="CD60" s="170"/>
      <c r="CE60" s="170"/>
      <c r="CF60" s="170"/>
      <c r="CG60" s="170"/>
      <c r="CH60" s="170"/>
      <c r="CI60" s="170"/>
      <c r="CJ60" s="170"/>
      <c r="CK60" s="170"/>
      <c r="CL60" s="170"/>
      <c r="CM60" s="170"/>
      <c r="CN60" s="170"/>
      <c r="CO60" s="170"/>
      <c r="CP60" s="170"/>
      <c r="CQ60" s="170"/>
      <c r="CR60" s="170"/>
      <c r="CS60" s="170"/>
      <c r="CT60" s="170"/>
      <c r="CU60" s="170"/>
      <c r="CV60" s="170"/>
      <c r="CW60" s="170"/>
      <c r="CX60" s="170"/>
      <c r="CY60" s="170"/>
      <c r="CZ60" s="170"/>
      <c r="DA60" s="170"/>
      <c r="DB60" s="170"/>
      <c r="DC60" s="170"/>
      <c r="DD60" s="170"/>
      <c r="DE60" s="170"/>
      <c r="DF60" s="170"/>
      <c r="DG60" s="170"/>
      <c r="DH60" s="170"/>
      <c r="DI60" s="170"/>
      <c r="DJ60" s="170"/>
      <c r="DK60" s="170"/>
      <c r="DL60" s="170"/>
      <c r="DM60" s="170"/>
      <c r="DN60" s="170"/>
      <c r="DO60" s="170"/>
      <c r="DP60" s="170"/>
      <c r="DQ60" s="170"/>
      <c r="DR60" s="170"/>
      <c r="DS60" s="170"/>
      <c r="DT60" s="170"/>
      <c r="DU60" s="170"/>
      <c r="DV60" s="170"/>
      <c r="DW60" s="170"/>
      <c r="DX60" s="170"/>
      <c r="DY60" s="170"/>
      <c r="DZ60" s="170"/>
      <c r="EA60" s="170"/>
      <c r="EB60" s="170"/>
      <c r="EC60" s="170"/>
      <c r="ED60" s="170"/>
      <c r="EE60" s="170"/>
      <c r="EF60" s="170"/>
      <c r="EG60" s="170"/>
      <c r="EH60" s="170"/>
      <c r="EI60" s="170"/>
      <c r="EJ60" s="170"/>
      <c r="EK60" s="170"/>
      <c r="EL60" s="170"/>
      <c r="EM60" s="170"/>
      <c r="EN60" s="170"/>
      <c r="EO60" s="170"/>
      <c r="EP60" s="170"/>
      <c r="EQ60" s="170"/>
      <c r="ER60" s="170"/>
      <c r="ES60" s="170"/>
      <c r="ET60" s="170"/>
      <c r="EU60" s="170"/>
      <c r="EV60" s="170"/>
      <c r="EW60" s="170"/>
      <c r="EX60" s="170"/>
      <c r="EY60" s="170"/>
      <c r="EZ60" s="170"/>
      <c r="FA60" s="170"/>
      <c r="FB60" s="170"/>
      <c r="FC60" s="170"/>
      <c r="FD60" s="170"/>
      <c r="FE60" s="170"/>
      <c r="FF60" s="170"/>
      <c r="FG60" s="170"/>
      <c r="FH60" s="170"/>
      <c r="FI60" s="170"/>
      <c r="FJ60" s="170"/>
      <c r="FK60" s="170"/>
      <c r="FL60" s="170"/>
      <c r="FM60" s="170"/>
      <c r="FN60" s="170"/>
      <c r="FO60" s="170"/>
      <c r="FP60" s="170"/>
      <c r="FQ60" s="170"/>
      <c r="FR60" s="170"/>
      <c r="FS60" s="170"/>
      <c r="FT60" s="170"/>
      <c r="FU60" s="170"/>
      <c r="FV60" s="170"/>
      <c r="FW60" s="170"/>
      <c r="FX60" s="170"/>
      <c r="FY60" s="170"/>
      <c r="FZ60" s="170"/>
      <c r="GA60" s="170"/>
      <c r="GB60" s="170"/>
      <c r="GC60" s="170"/>
      <c r="GD60" s="170"/>
      <c r="GE60" s="170"/>
      <c r="GF60" s="170"/>
      <c r="GG60" s="170"/>
      <c r="GH60" s="170"/>
      <c r="GI60" s="170"/>
      <c r="GJ60" s="170"/>
      <c r="GK60" s="170"/>
      <c r="GL60" s="170"/>
      <c r="GM60" s="170"/>
      <c r="GN60" s="170"/>
      <c r="GO60" s="170"/>
      <c r="GP60" s="170"/>
      <c r="GQ60" s="170"/>
      <c r="GR60" s="170"/>
      <c r="GS60" s="170"/>
      <c r="GT60" s="170"/>
      <c r="GU60" s="170"/>
      <c r="GV60" s="170"/>
      <c r="GW60" s="170"/>
      <c r="GX60" s="170"/>
      <c r="GY60" s="170"/>
      <c r="GZ60" s="170"/>
      <c r="HA60" s="170"/>
      <c r="HB60" s="170"/>
      <c r="HC60" s="170"/>
      <c r="HD60" s="170"/>
      <c r="HE60" s="170"/>
      <c r="HF60" s="170"/>
      <c r="HG60" s="170"/>
      <c r="HH60" s="170"/>
      <c r="HI60" s="170"/>
      <c r="HJ60" s="170"/>
      <c r="HK60" s="170"/>
      <c r="HL60" s="170"/>
      <c r="HM60" s="170"/>
      <c r="HN60" s="170"/>
      <c r="HO60" s="170"/>
      <c r="HP60" s="170"/>
      <c r="HQ60" s="170"/>
      <c r="HR60" s="170"/>
      <c r="HS60" s="170"/>
      <c r="HT60" s="170"/>
      <c r="HU60" s="170"/>
      <c r="HV60" s="170"/>
      <c r="HW60" s="170"/>
      <c r="HX60" s="170"/>
      <c r="HY60" s="170"/>
      <c r="HZ60" s="170"/>
      <c r="IA60" s="170"/>
      <c r="IB60" s="170"/>
      <c r="IC60" s="170"/>
      <c r="ID60" s="170"/>
      <c r="IE60" s="170"/>
      <c r="IF60" s="170"/>
    </row>
    <row r="61" spans="1:240" s="32" customFormat="1" ht="11.4" thickBot="1" x14ac:dyDescent="0.25">
      <c r="A61" s="173"/>
      <c r="D61" s="32">
        <v>1</v>
      </c>
      <c r="E61" s="32">
        <v>2</v>
      </c>
      <c r="F61" s="32">
        <v>3</v>
      </c>
      <c r="G61" s="32">
        <v>4</v>
      </c>
      <c r="H61" s="32">
        <v>5</v>
      </c>
      <c r="I61" s="32">
        <v>6</v>
      </c>
      <c r="J61" s="32">
        <v>7</v>
      </c>
      <c r="K61" s="32">
        <v>8</v>
      </c>
      <c r="L61" s="32">
        <v>9</v>
      </c>
      <c r="M61" s="32">
        <v>10</v>
      </c>
      <c r="N61" s="32">
        <v>11</v>
      </c>
      <c r="O61" s="32">
        <v>12</v>
      </c>
      <c r="P61" s="32">
        <v>13</v>
      </c>
      <c r="Q61" s="32">
        <v>14</v>
      </c>
      <c r="R61" s="32">
        <v>15</v>
      </c>
      <c r="S61" s="32">
        <v>16</v>
      </c>
      <c r="T61" s="32">
        <v>17</v>
      </c>
      <c r="U61" s="32">
        <v>18</v>
      </c>
      <c r="V61" s="32">
        <v>19</v>
      </c>
      <c r="W61" s="32">
        <v>20</v>
      </c>
      <c r="X61" s="32">
        <v>21</v>
      </c>
      <c r="Y61" s="32">
        <v>22</v>
      </c>
      <c r="Z61" s="32">
        <v>23</v>
      </c>
      <c r="AA61" s="32">
        <v>24</v>
      </c>
      <c r="AB61" s="32">
        <v>25</v>
      </c>
    </row>
    <row r="62" spans="1:240" s="79" customFormat="1" x14ac:dyDescent="0.25">
      <c r="A62" s="171"/>
      <c r="B62" s="172"/>
      <c r="E62" s="174"/>
      <c r="F62" s="175">
        <v>2011</v>
      </c>
      <c r="G62" s="176"/>
      <c r="H62" s="174"/>
      <c r="I62" s="175">
        <v>2012</v>
      </c>
      <c r="J62" s="176"/>
      <c r="K62" s="174"/>
      <c r="L62" s="175">
        <v>2013</v>
      </c>
      <c r="M62" s="176"/>
      <c r="N62" s="174"/>
      <c r="O62" s="175">
        <v>2014</v>
      </c>
      <c r="P62" s="176"/>
      <c r="Q62" s="174"/>
      <c r="R62" s="175">
        <v>2015</v>
      </c>
      <c r="S62" s="176"/>
      <c r="T62" s="174"/>
      <c r="U62" s="175">
        <v>2016</v>
      </c>
      <c r="V62" s="176"/>
      <c r="W62" s="174"/>
      <c r="X62" s="175">
        <v>2017</v>
      </c>
      <c r="Y62" s="176"/>
      <c r="Z62" s="174"/>
      <c r="AA62" s="175" t="s">
        <v>78</v>
      </c>
      <c r="AB62" s="176"/>
    </row>
    <row r="63" spans="1:240" s="30" customFormat="1" ht="13.8" thickBot="1" x14ac:dyDescent="0.3">
      <c r="E63" s="177" t="s">
        <v>306</v>
      </c>
      <c r="F63" s="178" t="s">
        <v>307</v>
      </c>
      <c r="G63" s="179" t="s">
        <v>308</v>
      </c>
      <c r="H63" s="177" t="s">
        <v>306</v>
      </c>
      <c r="I63" s="178" t="s">
        <v>307</v>
      </c>
      <c r="J63" s="179" t="s">
        <v>308</v>
      </c>
      <c r="K63" s="177" t="s">
        <v>306</v>
      </c>
      <c r="L63" s="178" t="s">
        <v>307</v>
      </c>
      <c r="M63" s="179" t="s">
        <v>308</v>
      </c>
      <c r="N63" s="177" t="s">
        <v>306</v>
      </c>
      <c r="O63" s="178" t="s">
        <v>307</v>
      </c>
      <c r="P63" s="179" t="s">
        <v>308</v>
      </c>
      <c r="Q63" s="177" t="s">
        <v>306</v>
      </c>
      <c r="R63" s="178" t="s">
        <v>307</v>
      </c>
      <c r="S63" s="179" t="s">
        <v>308</v>
      </c>
      <c r="T63" s="177" t="s">
        <v>306</v>
      </c>
      <c r="U63" s="178" t="s">
        <v>307</v>
      </c>
      <c r="V63" s="179" t="s">
        <v>308</v>
      </c>
      <c r="W63" s="177" t="s">
        <v>306</v>
      </c>
      <c r="X63" s="178" t="s">
        <v>307</v>
      </c>
      <c r="Y63" s="179" t="s">
        <v>308</v>
      </c>
      <c r="Z63" s="177" t="s">
        <v>306</v>
      </c>
      <c r="AA63" s="178" t="s">
        <v>307</v>
      </c>
      <c r="AB63" s="179" t="s">
        <v>308</v>
      </c>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row>
    <row r="64" spans="1:240" ht="13.5" customHeight="1" x14ac:dyDescent="0.25">
      <c r="A64" s="23" t="s">
        <v>110</v>
      </c>
      <c r="B64" s="23">
        <v>58</v>
      </c>
      <c r="C64" s="23">
        <f>YEAR(Input!$E$11)+'Tabellen L'!B64</f>
        <v>1958</v>
      </c>
      <c r="D64" s="172">
        <v>158</v>
      </c>
      <c r="E64" s="152" t="e" vm="1">
        <f t="shared" ref="E64:I76" si="0">VLOOKUP($B64,$B$6:$K$18,$C$58)</f>
        <v>#VALUE!</v>
      </c>
      <c r="F64" s="152" t="e" vm="1">
        <f t="shared" si="0"/>
        <v>#VALUE!</v>
      </c>
      <c r="G64" s="152" t="e" vm="1">
        <f t="shared" si="0"/>
        <v>#VALUE!</v>
      </c>
      <c r="H64" s="152" t="e" vm="1">
        <f t="shared" si="0"/>
        <v>#VALUE!</v>
      </c>
      <c r="I64" s="152" t="e" vm="1">
        <f t="shared" si="0"/>
        <v>#VALUE!</v>
      </c>
      <c r="J64" s="167">
        <f t="shared" ref="J64:J89" si="1">VLOOKUP($B64,$A$36:$F$48,6)</f>
        <v>5.07</v>
      </c>
      <c r="K64" s="152" t="e" vm="1">
        <f t="shared" ref="K64:L76" si="2">VLOOKUP($B64,$B$6:$K$18,$C$58)</f>
        <v>#VALUE!</v>
      </c>
      <c r="L64" s="152" t="e" vm="1">
        <f t="shared" si="2"/>
        <v>#VALUE!</v>
      </c>
      <c r="M64" s="167">
        <f t="shared" ref="M64:M89" si="3">VLOOKUP($B64,$A$36:$F$48,6)</f>
        <v>5.07</v>
      </c>
      <c r="N64" s="152" t="e" vm="1">
        <f t="shared" ref="N64:O76" si="4">VLOOKUP($B64,$B$6:$K$18,$C$58)</f>
        <v>#VALUE!</v>
      </c>
      <c r="O64" s="152" t="e" vm="1">
        <f t="shared" si="4"/>
        <v>#VALUE!</v>
      </c>
      <c r="P64" s="167">
        <f t="shared" ref="P64:P89" si="5">VLOOKUP($B64,$A$36:$F$48,6)</f>
        <v>5.07</v>
      </c>
      <c r="Q64" s="161">
        <f t="shared" ref="Q64:Q89" si="6">VLOOKUP($B64,$A$36:$E$48,2)</f>
        <v>5.75</v>
      </c>
      <c r="R64" s="167">
        <f t="shared" ref="R64:S89" si="7">VLOOKUP($B64,$A$36:$F$48,6)</f>
        <v>5.07</v>
      </c>
      <c r="S64" s="167">
        <f t="shared" si="7"/>
        <v>5.07</v>
      </c>
      <c r="T64" s="161">
        <f t="shared" ref="T64:T89" si="8">VLOOKUP($B64,$A$36:$E$48,3)</f>
        <v>5.55</v>
      </c>
      <c r="U64" s="167">
        <f t="shared" ref="U64:V89" si="9">VLOOKUP($B64,$A$36:$F$48,6)</f>
        <v>5.07</v>
      </c>
      <c r="V64" s="167">
        <f t="shared" si="9"/>
        <v>5.07</v>
      </c>
      <c r="W64" s="161">
        <f t="shared" ref="W64:W89" si="10">VLOOKUP($B64,$A$36:$E$48,4)</f>
        <v>5.35</v>
      </c>
      <c r="X64" s="167">
        <f t="shared" ref="X64:Y89" si="11">VLOOKUP($B64,$A$36:$F$48,6)</f>
        <v>5.07</v>
      </c>
      <c r="Y64" s="167">
        <f t="shared" si="11"/>
        <v>5.07</v>
      </c>
      <c r="Z64" s="161">
        <f t="shared" ref="Z64:Z89" si="12">VLOOKUP($B64,$A$36:$E$48,5)</f>
        <v>5.15</v>
      </c>
      <c r="AA64" s="167">
        <f t="shared" ref="AA64:AB89" si="13">VLOOKUP($B64,$A$36:$F$48,6)</f>
        <v>5.07</v>
      </c>
      <c r="AB64" s="167">
        <f t="shared" si="13"/>
        <v>5.07</v>
      </c>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row>
    <row r="65" spans="1:52" ht="13.5" customHeight="1" x14ac:dyDescent="0.25">
      <c r="B65" s="23">
        <v>59</v>
      </c>
      <c r="C65" s="23">
        <f>YEAR(Input!$E$11)+'Tabellen L'!B65</f>
        <v>1959</v>
      </c>
      <c r="D65" s="172">
        <v>159</v>
      </c>
      <c r="E65" s="152" t="e" vm="1">
        <f t="shared" si="0"/>
        <v>#VALUE!</v>
      </c>
      <c r="F65" s="152" t="e" vm="1">
        <f t="shared" si="0"/>
        <v>#VALUE!</v>
      </c>
      <c r="G65" s="152" t="e" vm="1">
        <f t="shared" si="0"/>
        <v>#VALUE!</v>
      </c>
      <c r="H65" s="152" t="e" vm="1">
        <f t="shared" si="0"/>
        <v>#VALUE!</v>
      </c>
      <c r="I65" s="152" t="e" vm="1">
        <f t="shared" si="0"/>
        <v>#VALUE!</v>
      </c>
      <c r="J65" s="167">
        <f t="shared" si="1"/>
        <v>5.19</v>
      </c>
      <c r="K65" s="152" t="e" vm="1">
        <f t="shared" si="2"/>
        <v>#VALUE!</v>
      </c>
      <c r="L65" s="152" t="e" vm="1">
        <f t="shared" si="2"/>
        <v>#VALUE!</v>
      </c>
      <c r="M65" s="167">
        <f t="shared" si="3"/>
        <v>5.19</v>
      </c>
      <c r="N65" s="152" t="e" vm="1">
        <f t="shared" si="4"/>
        <v>#VALUE!</v>
      </c>
      <c r="O65" s="152" t="e" vm="1">
        <f t="shared" si="4"/>
        <v>#VALUE!</v>
      </c>
      <c r="P65" s="167">
        <f t="shared" si="5"/>
        <v>5.19</v>
      </c>
      <c r="Q65" s="161">
        <f t="shared" si="6"/>
        <v>5.95</v>
      </c>
      <c r="R65" s="167">
        <f t="shared" si="7"/>
        <v>5.19</v>
      </c>
      <c r="S65" s="167">
        <f t="shared" si="7"/>
        <v>5.19</v>
      </c>
      <c r="T65" s="161">
        <f t="shared" si="8"/>
        <v>5.7</v>
      </c>
      <c r="U65" s="167">
        <f t="shared" si="9"/>
        <v>5.19</v>
      </c>
      <c r="V65" s="167">
        <f t="shared" si="9"/>
        <v>5.19</v>
      </c>
      <c r="W65" s="161">
        <f t="shared" si="10"/>
        <v>5.5</v>
      </c>
      <c r="X65" s="167">
        <f t="shared" si="11"/>
        <v>5.19</v>
      </c>
      <c r="Y65" s="167">
        <f t="shared" si="11"/>
        <v>5.19</v>
      </c>
      <c r="Z65" s="161">
        <f t="shared" si="12"/>
        <v>5.3</v>
      </c>
      <c r="AA65" s="167">
        <f t="shared" si="13"/>
        <v>5.19</v>
      </c>
      <c r="AB65" s="167">
        <f t="shared" si="13"/>
        <v>5.19</v>
      </c>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row>
    <row r="66" spans="1:52" ht="13.5" customHeight="1" x14ac:dyDescent="0.25">
      <c r="B66" s="23">
        <v>60</v>
      </c>
      <c r="C66" s="23">
        <f>YEAR(Input!$E$11)+'Tabellen L'!B66</f>
        <v>1960</v>
      </c>
      <c r="D66" s="172">
        <v>160</v>
      </c>
      <c r="E66" s="152" t="e" vm="1">
        <f t="shared" si="0"/>
        <v>#VALUE!</v>
      </c>
      <c r="F66" s="152" t="e" vm="1">
        <f t="shared" si="0"/>
        <v>#VALUE!</v>
      </c>
      <c r="G66" s="152" t="e" vm="1">
        <f t="shared" si="0"/>
        <v>#VALUE!</v>
      </c>
      <c r="H66" s="152" t="e" vm="1">
        <f t="shared" si="0"/>
        <v>#VALUE!</v>
      </c>
      <c r="I66" s="152" t="e" vm="1">
        <f t="shared" si="0"/>
        <v>#VALUE!</v>
      </c>
      <c r="J66" s="167">
        <f t="shared" si="1"/>
        <v>5.31</v>
      </c>
      <c r="K66" s="152" t="e" vm="1">
        <f t="shared" si="2"/>
        <v>#VALUE!</v>
      </c>
      <c r="L66" s="152" t="e" vm="1">
        <f t="shared" si="2"/>
        <v>#VALUE!</v>
      </c>
      <c r="M66" s="167">
        <f t="shared" si="3"/>
        <v>5.31</v>
      </c>
      <c r="N66" s="152" t="e" vm="1">
        <f t="shared" si="4"/>
        <v>#VALUE!</v>
      </c>
      <c r="O66" s="152" t="e" vm="1">
        <f t="shared" si="4"/>
        <v>#VALUE!</v>
      </c>
      <c r="P66" s="167">
        <f t="shared" si="5"/>
        <v>5.31</v>
      </c>
      <c r="Q66" s="161">
        <f t="shared" si="6"/>
        <v>6.05</v>
      </c>
      <c r="R66" s="167">
        <f t="shared" si="7"/>
        <v>5.31</v>
      </c>
      <c r="S66" s="167">
        <f t="shared" si="7"/>
        <v>5.31</v>
      </c>
      <c r="T66" s="161">
        <f t="shared" si="8"/>
        <v>5.85</v>
      </c>
      <c r="U66" s="167">
        <f t="shared" si="9"/>
        <v>5.31</v>
      </c>
      <c r="V66" s="167">
        <f t="shared" si="9"/>
        <v>5.31</v>
      </c>
      <c r="W66" s="161">
        <f t="shared" si="10"/>
        <v>5.65</v>
      </c>
      <c r="X66" s="167">
        <f t="shared" si="11"/>
        <v>5.31</v>
      </c>
      <c r="Y66" s="167">
        <f t="shared" si="11"/>
        <v>5.31</v>
      </c>
      <c r="Z66" s="161">
        <f t="shared" si="12"/>
        <v>5.45</v>
      </c>
      <c r="AA66" s="167">
        <f t="shared" si="13"/>
        <v>5.31</v>
      </c>
      <c r="AB66" s="167">
        <f t="shared" si="13"/>
        <v>5.31</v>
      </c>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row>
    <row r="67" spans="1:52" ht="13.5" customHeight="1" x14ac:dyDescent="0.25">
      <c r="B67" s="23">
        <v>61</v>
      </c>
      <c r="C67" s="23">
        <f>YEAR(Input!$E$11)+'Tabellen L'!B67</f>
        <v>1961</v>
      </c>
      <c r="D67" s="172">
        <v>161</v>
      </c>
      <c r="E67" s="152" t="e" vm="1">
        <f t="shared" si="0"/>
        <v>#VALUE!</v>
      </c>
      <c r="F67" s="152" t="e" vm="1">
        <f t="shared" si="0"/>
        <v>#VALUE!</v>
      </c>
      <c r="G67" s="152" t="e" vm="1">
        <f t="shared" si="0"/>
        <v>#VALUE!</v>
      </c>
      <c r="H67" s="152" t="e" vm="1">
        <f t="shared" si="0"/>
        <v>#VALUE!</v>
      </c>
      <c r="I67" s="152" t="e" vm="1">
        <f t="shared" si="0"/>
        <v>#VALUE!</v>
      </c>
      <c r="J67" s="167">
        <f t="shared" si="1"/>
        <v>5.44</v>
      </c>
      <c r="K67" s="152" t="e" vm="1">
        <f t="shared" si="2"/>
        <v>#VALUE!</v>
      </c>
      <c r="L67" s="152" t="e" vm="1">
        <f t="shared" si="2"/>
        <v>#VALUE!</v>
      </c>
      <c r="M67" s="167">
        <f t="shared" si="3"/>
        <v>5.44</v>
      </c>
      <c r="N67" s="152" t="e" vm="1">
        <f t="shared" si="4"/>
        <v>#VALUE!</v>
      </c>
      <c r="O67" s="152" t="e" vm="1">
        <f t="shared" si="4"/>
        <v>#VALUE!</v>
      </c>
      <c r="P67" s="167">
        <f t="shared" si="5"/>
        <v>5.44</v>
      </c>
      <c r="Q67" s="161">
        <f t="shared" si="6"/>
        <v>6.2</v>
      </c>
      <c r="R67" s="167">
        <f t="shared" si="7"/>
        <v>5.44</v>
      </c>
      <c r="S67" s="167">
        <f t="shared" si="7"/>
        <v>5.44</v>
      </c>
      <c r="T67" s="161">
        <f t="shared" si="8"/>
        <v>6</v>
      </c>
      <c r="U67" s="167">
        <f t="shared" si="9"/>
        <v>5.44</v>
      </c>
      <c r="V67" s="167">
        <f t="shared" si="9"/>
        <v>5.44</v>
      </c>
      <c r="W67" s="161">
        <f t="shared" si="10"/>
        <v>5.8</v>
      </c>
      <c r="X67" s="167">
        <f t="shared" si="11"/>
        <v>5.44</v>
      </c>
      <c r="Y67" s="167">
        <f t="shared" si="11"/>
        <v>5.44</v>
      </c>
      <c r="Z67" s="161">
        <f t="shared" si="12"/>
        <v>5.6</v>
      </c>
      <c r="AA67" s="167">
        <f t="shared" si="13"/>
        <v>5.44</v>
      </c>
      <c r="AB67" s="167">
        <f t="shared" si="13"/>
        <v>5.44</v>
      </c>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row>
    <row r="68" spans="1:52" ht="13.5" customHeight="1" x14ac:dyDescent="0.25">
      <c r="B68" s="23">
        <v>62</v>
      </c>
      <c r="C68" s="23">
        <f>YEAR(Input!$E$11)+'Tabellen L'!B68</f>
        <v>1962</v>
      </c>
      <c r="D68" s="172">
        <v>162</v>
      </c>
      <c r="E68" s="152" t="e" vm="1">
        <f t="shared" si="0"/>
        <v>#VALUE!</v>
      </c>
      <c r="F68" s="152" t="e" vm="1">
        <f t="shared" si="0"/>
        <v>#VALUE!</v>
      </c>
      <c r="G68" s="152" t="e" vm="1">
        <f t="shared" si="0"/>
        <v>#VALUE!</v>
      </c>
      <c r="H68" s="152" t="e" vm="1">
        <f t="shared" si="0"/>
        <v>#VALUE!</v>
      </c>
      <c r="I68" s="152" t="e" vm="1">
        <f t="shared" si="0"/>
        <v>#VALUE!</v>
      </c>
      <c r="J68" s="167">
        <f t="shared" si="1"/>
        <v>5.57</v>
      </c>
      <c r="K68" s="152" t="e" vm="1">
        <f t="shared" si="2"/>
        <v>#VALUE!</v>
      </c>
      <c r="L68" s="152" t="e" vm="1">
        <f t="shared" si="2"/>
        <v>#VALUE!</v>
      </c>
      <c r="M68" s="167">
        <f t="shared" si="3"/>
        <v>5.57</v>
      </c>
      <c r="N68" s="152" t="e" vm="1">
        <f t="shared" si="4"/>
        <v>#VALUE!</v>
      </c>
      <c r="O68" s="152" t="e" vm="1">
        <f t="shared" si="4"/>
        <v>#VALUE!</v>
      </c>
      <c r="P68" s="167">
        <f t="shared" si="5"/>
        <v>5.57</v>
      </c>
      <c r="Q68" s="161">
        <f t="shared" si="6"/>
        <v>6.35</v>
      </c>
      <c r="R68" s="167">
        <f t="shared" si="7"/>
        <v>5.57</v>
      </c>
      <c r="S68" s="167">
        <f t="shared" si="7"/>
        <v>5.57</v>
      </c>
      <c r="T68" s="161">
        <f t="shared" si="8"/>
        <v>6.15</v>
      </c>
      <c r="U68" s="167">
        <f t="shared" si="9"/>
        <v>5.57</v>
      </c>
      <c r="V68" s="167">
        <f t="shared" si="9"/>
        <v>5.57</v>
      </c>
      <c r="W68" s="161">
        <f t="shared" si="10"/>
        <v>5.95</v>
      </c>
      <c r="X68" s="167">
        <f t="shared" si="11"/>
        <v>5.57</v>
      </c>
      <c r="Y68" s="167">
        <f t="shared" si="11"/>
        <v>5.57</v>
      </c>
      <c r="Z68" s="161">
        <f t="shared" si="12"/>
        <v>5.75</v>
      </c>
      <c r="AA68" s="167">
        <f t="shared" si="13"/>
        <v>5.57</v>
      </c>
      <c r="AB68" s="167">
        <f t="shared" si="13"/>
        <v>5.57</v>
      </c>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row>
    <row r="69" spans="1:52" ht="13.5" customHeight="1" x14ac:dyDescent="0.25">
      <c r="B69" s="23">
        <v>63</v>
      </c>
      <c r="C69" s="23">
        <f>YEAR(Input!$E$11)+'Tabellen L'!B69</f>
        <v>1963</v>
      </c>
      <c r="D69" s="172">
        <v>163</v>
      </c>
      <c r="E69" s="152" t="e" vm="1">
        <f t="shared" si="0"/>
        <v>#VALUE!</v>
      </c>
      <c r="F69" s="152" t="e" vm="1">
        <f t="shared" si="0"/>
        <v>#VALUE!</v>
      </c>
      <c r="G69" s="152" t="e" vm="1">
        <f t="shared" si="0"/>
        <v>#VALUE!</v>
      </c>
      <c r="H69" s="152" t="e" vm="1">
        <f t="shared" si="0"/>
        <v>#VALUE!</v>
      </c>
      <c r="I69" s="152" t="e" vm="1">
        <f t="shared" si="0"/>
        <v>#VALUE!</v>
      </c>
      <c r="J69" s="167">
        <f t="shared" si="1"/>
        <v>5.71</v>
      </c>
      <c r="K69" s="152" t="e" vm="1">
        <f t="shared" si="2"/>
        <v>#VALUE!</v>
      </c>
      <c r="L69" s="152" t="e" vm="1">
        <f t="shared" si="2"/>
        <v>#VALUE!</v>
      </c>
      <c r="M69" s="167">
        <f t="shared" si="3"/>
        <v>5.71</v>
      </c>
      <c r="N69" s="152" t="e" vm="1">
        <f t="shared" si="4"/>
        <v>#VALUE!</v>
      </c>
      <c r="O69" s="152" t="e" vm="1">
        <f t="shared" si="4"/>
        <v>#VALUE!</v>
      </c>
      <c r="P69" s="167">
        <f t="shared" si="5"/>
        <v>5.71</v>
      </c>
      <c r="Q69" s="161">
        <f t="shared" si="6"/>
        <v>6.5</v>
      </c>
      <c r="R69" s="167">
        <f t="shared" si="7"/>
        <v>5.71</v>
      </c>
      <c r="S69" s="167">
        <f t="shared" si="7"/>
        <v>5.71</v>
      </c>
      <c r="T69" s="161">
        <f t="shared" si="8"/>
        <v>6.3</v>
      </c>
      <c r="U69" s="167">
        <f t="shared" si="9"/>
        <v>5.71</v>
      </c>
      <c r="V69" s="167">
        <f t="shared" si="9"/>
        <v>5.71</v>
      </c>
      <c r="W69" s="161">
        <f t="shared" si="10"/>
        <v>6.1</v>
      </c>
      <c r="X69" s="167">
        <f t="shared" si="11"/>
        <v>5.71</v>
      </c>
      <c r="Y69" s="167">
        <f t="shared" si="11"/>
        <v>5.71</v>
      </c>
      <c r="Z69" s="161">
        <f t="shared" si="12"/>
        <v>5.9</v>
      </c>
      <c r="AA69" s="167">
        <f t="shared" si="13"/>
        <v>5.71</v>
      </c>
      <c r="AB69" s="167">
        <f t="shared" si="13"/>
        <v>5.71</v>
      </c>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row>
    <row r="70" spans="1:52" ht="13.5" customHeight="1" x14ac:dyDescent="0.25">
      <c r="B70" s="23">
        <v>64</v>
      </c>
      <c r="C70" s="23">
        <f>YEAR(Input!$E$11)+'Tabellen L'!B70</f>
        <v>1964</v>
      </c>
      <c r="D70" s="172">
        <v>164</v>
      </c>
      <c r="E70" s="152" t="e" vm="1">
        <f t="shared" si="0"/>
        <v>#VALUE!</v>
      </c>
      <c r="F70" s="152" t="e" vm="1">
        <f t="shared" si="0"/>
        <v>#VALUE!</v>
      </c>
      <c r="G70" s="152" t="e" vm="1">
        <f t="shared" si="0"/>
        <v>#VALUE!</v>
      </c>
      <c r="H70" s="152" t="e" vm="1">
        <f t="shared" si="0"/>
        <v>#VALUE!</v>
      </c>
      <c r="I70" s="152" t="e" vm="1">
        <f t="shared" si="0"/>
        <v>#VALUE!</v>
      </c>
      <c r="J70" s="167">
        <f t="shared" si="1"/>
        <v>5.85</v>
      </c>
      <c r="K70" s="152" t="e" vm="1">
        <f t="shared" si="2"/>
        <v>#VALUE!</v>
      </c>
      <c r="L70" s="152" t="e" vm="1">
        <f t="shared" si="2"/>
        <v>#VALUE!</v>
      </c>
      <c r="M70" s="167">
        <f t="shared" si="3"/>
        <v>5.85</v>
      </c>
      <c r="N70" s="152" t="e" vm="1">
        <f t="shared" si="4"/>
        <v>#VALUE!</v>
      </c>
      <c r="O70" s="152" t="e" vm="1">
        <f t="shared" si="4"/>
        <v>#VALUE!</v>
      </c>
      <c r="P70" s="167">
        <f t="shared" si="5"/>
        <v>5.85</v>
      </c>
      <c r="Q70" s="161">
        <f t="shared" si="6"/>
        <v>6.65</v>
      </c>
      <c r="R70" s="167">
        <f t="shared" si="7"/>
        <v>5.85</v>
      </c>
      <c r="S70" s="167">
        <f t="shared" si="7"/>
        <v>5.85</v>
      </c>
      <c r="T70" s="161">
        <f t="shared" si="8"/>
        <v>6.45</v>
      </c>
      <c r="U70" s="167">
        <f t="shared" si="9"/>
        <v>5.85</v>
      </c>
      <c r="V70" s="167">
        <f t="shared" si="9"/>
        <v>5.85</v>
      </c>
      <c r="W70" s="161">
        <f t="shared" si="10"/>
        <v>6.25</v>
      </c>
      <c r="X70" s="167">
        <f t="shared" si="11"/>
        <v>5.85</v>
      </c>
      <c r="Y70" s="167">
        <f t="shared" si="11"/>
        <v>5.85</v>
      </c>
      <c r="Z70" s="161">
        <f t="shared" si="12"/>
        <v>6.05</v>
      </c>
      <c r="AA70" s="167">
        <f t="shared" si="13"/>
        <v>5.85</v>
      </c>
      <c r="AB70" s="167">
        <f t="shared" si="13"/>
        <v>5.85</v>
      </c>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row>
    <row r="71" spans="1:52" ht="13.5" customHeight="1" x14ac:dyDescent="0.25">
      <c r="B71" s="23">
        <v>65</v>
      </c>
      <c r="C71" s="23">
        <f>YEAR(Input!$E$11)+'Tabellen L'!B71</f>
        <v>1965</v>
      </c>
      <c r="D71" s="172">
        <v>165</v>
      </c>
      <c r="E71" s="152" t="e" vm="1">
        <f t="shared" si="0"/>
        <v>#VALUE!</v>
      </c>
      <c r="F71" s="152" t="e" vm="1">
        <f t="shared" si="0"/>
        <v>#VALUE!</v>
      </c>
      <c r="G71" s="152" t="e" vm="1">
        <f t="shared" si="0"/>
        <v>#VALUE!</v>
      </c>
      <c r="H71" s="152" t="e" vm="1">
        <f t="shared" si="0"/>
        <v>#VALUE!</v>
      </c>
      <c r="I71" s="152" t="e" vm="1">
        <f t="shared" si="0"/>
        <v>#VALUE!</v>
      </c>
      <c r="J71" s="167">
        <f t="shared" si="1"/>
        <v>6.01</v>
      </c>
      <c r="K71" s="152" t="e" vm="1">
        <f t="shared" si="2"/>
        <v>#VALUE!</v>
      </c>
      <c r="L71" s="152" t="e" vm="1">
        <f t="shared" si="2"/>
        <v>#VALUE!</v>
      </c>
      <c r="M71" s="167">
        <f t="shared" si="3"/>
        <v>6.01</v>
      </c>
      <c r="N71" s="152" t="e" vm="1">
        <f t="shared" si="4"/>
        <v>#VALUE!</v>
      </c>
      <c r="O71" s="152" t="e" vm="1">
        <f t="shared" si="4"/>
        <v>#VALUE!</v>
      </c>
      <c r="P71" s="167">
        <f t="shared" si="5"/>
        <v>6.01</v>
      </c>
      <c r="Q71" s="161">
        <f t="shared" si="6"/>
        <v>6.8</v>
      </c>
      <c r="R71" s="167">
        <f t="shared" si="7"/>
        <v>6.01</v>
      </c>
      <c r="S71" s="167">
        <f t="shared" si="7"/>
        <v>6.01</v>
      </c>
      <c r="T71" s="161">
        <f t="shared" si="8"/>
        <v>6.6</v>
      </c>
      <c r="U71" s="167">
        <f t="shared" si="9"/>
        <v>6.01</v>
      </c>
      <c r="V71" s="167">
        <f t="shared" si="9"/>
        <v>6.01</v>
      </c>
      <c r="W71" s="161">
        <f t="shared" si="10"/>
        <v>6.4</v>
      </c>
      <c r="X71" s="167">
        <f t="shared" si="11"/>
        <v>6.01</v>
      </c>
      <c r="Y71" s="167">
        <f t="shared" si="11"/>
        <v>6.01</v>
      </c>
      <c r="Z71" s="161">
        <f t="shared" si="12"/>
        <v>6.2</v>
      </c>
      <c r="AA71" s="167">
        <f t="shared" si="13"/>
        <v>6.01</v>
      </c>
      <c r="AB71" s="167">
        <f t="shared" si="13"/>
        <v>6.01</v>
      </c>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row>
    <row r="72" spans="1:52" ht="13.5" customHeight="1" x14ac:dyDescent="0.25">
      <c r="B72" s="23">
        <v>66</v>
      </c>
      <c r="C72" s="23">
        <f>YEAR(Input!$E$11)+'Tabellen L'!B72</f>
        <v>1966</v>
      </c>
      <c r="D72" s="172">
        <v>166</v>
      </c>
      <c r="E72" s="152" t="e" vm="1">
        <f t="shared" si="0"/>
        <v>#VALUE!</v>
      </c>
      <c r="F72" s="152" t="e" vm="1">
        <f t="shared" si="0"/>
        <v>#VALUE!</v>
      </c>
      <c r="G72" s="152" t="e" vm="1">
        <f t="shared" si="0"/>
        <v>#VALUE!</v>
      </c>
      <c r="H72" s="152" t="e" vm="1">
        <f t="shared" si="0"/>
        <v>#VALUE!</v>
      </c>
      <c r="I72" s="152" t="e" vm="1">
        <f t="shared" si="0"/>
        <v>#VALUE!</v>
      </c>
      <c r="J72" s="167">
        <f t="shared" si="1"/>
        <v>6.17</v>
      </c>
      <c r="K72" s="152" t="e" vm="1">
        <f t="shared" si="2"/>
        <v>#VALUE!</v>
      </c>
      <c r="L72" s="152" t="e" vm="1">
        <f t="shared" si="2"/>
        <v>#VALUE!</v>
      </c>
      <c r="M72" s="167">
        <f t="shared" si="3"/>
        <v>6.17</v>
      </c>
      <c r="N72" s="152" t="e" vm="1">
        <f t="shared" si="4"/>
        <v>#VALUE!</v>
      </c>
      <c r="O72" s="152" t="e" vm="1">
        <f t="shared" si="4"/>
        <v>#VALUE!</v>
      </c>
      <c r="P72" s="167">
        <f t="shared" si="5"/>
        <v>6.17</v>
      </c>
      <c r="Q72" s="161">
        <f t="shared" si="6"/>
        <v>6.95</v>
      </c>
      <c r="R72" s="167">
        <f t="shared" si="7"/>
        <v>6.17</v>
      </c>
      <c r="S72" s="167">
        <f t="shared" si="7"/>
        <v>6.17</v>
      </c>
      <c r="T72" s="161">
        <f t="shared" si="8"/>
        <v>6.75</v>
      </c>
      <c r="U72" s="167">
        <f t="shared" si="9"/>
        <v>6.17</v>
      </c>
      <c r="V72" s="167">
        <f t="shared" si="9"/>
        <v>6.17</v>
      </c>
      <c r="W72" s="161">
        <f t="shared" si="10"/>
        <v>6.55</v>
      </c>
      <c r="X72" s="167">
        <f t="shared" si="11"/>
        <v>6.17</v>
      </c>
      <c r="Y72" s="167">
        <f t="shared" si="11"/>
        <v>6.17</v>
      </c>
      <c r="Z72" s="161">
        <f t="shared" si="12"/>
        <v>6.35</v>
      </c>
      <c r="AA72" s="167">
        <f t="shared" si="13"/>
        <v>6.17</v>
      </c>
      <c r="AB72" s="167">
        <f t="shared" si="13"/>
        <v>6.17</v>
      </c>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row>
    <row r="73" spans="1:52" ht="13.5" customHeight="1" x14ac:dyDescent="0.25">
      <c r="B73" s="23">
        <v>67</v>
      </c>
      <c r="C73" s="23">
        <f>YEAR(Input!$E$11)+'Tabellen L'!B73</f>
        <v>1967</v>
      </c>
      <c r="D73" s="172">
        <v>167</v>
      </c>
      <c r="E73" s="152" t="e" vm="1">
        <f t="shared" si="0"/>
        <v>#VALUE!</v>
      </c>
      <c r="F73" s="152" t="e" vm="1">
        <f t="shared" si="0"/>
        <v>#VALUE!</v>
      </c>
      <c r="G73" s="152" t="e" vm="1">
        <f t="shared" si="0"/>
        <v>#VALUE!</v>
      </c>
      <c r="H73" s="152" t="e" vm="1">
        <f t="shared" si="0"/>
        <v>#VALUE!</v>
      </c>
      <c r="I73" s="152" t="e" vm="1">
        <f t="shared" si="0"/>
        <v>#VALUE!</v>
      </c>
      <c r="J73" s="167">
        <f t="shared" si="1"/>
        <v>6.34</v>
      </c>
      <c r="K73" s="152" t="e" vm="1">
        <f t="shared" si="2"/>
        <v>#VALUE!</v>
      </c>
      <c r="L73" s="152" t="e" vm="1">
        <f t="shared" si="2"/>
        <v>#VALUE!</v>
      </c>
      <c r="M73" s="167">
        <f t="shared" si="3"/>
        <v>6.34</v>
      </c>
      <c r="N73" s="152" t="e" vm="1">
        <f t="shared" si="4"/>
        <v>#VALUE!</v>
      </c>
      <c r="O73" s="152" t="e" vm="1">
        <f t="shared" si="4"/>
        <v>#VALUE!</v>
      </c>
      <c r="P73" s="167">
        <f t="shared" si="5"/>
        <v>6.34</v>
      </c>
      <c r="Q73" s="161">
        <f t="shared" si="6"/>
        <v>7.1</v>
      </c>
      <c r="R73" s="167">
        <f t="shared" si="7"/>
        <v>6.34</v>
      </c>
      <c r="S73" s="167">
        <f t="shared" si="7"/>
        <v>6.34</v>
      </c>
      <c r="T73" s="161">
        <f t="shared" si="8"/>
        <v>6.9</v>
      </c>
      <c r="U73" s="167">
        <f t="shared" si="9"/>
        <v>6.34</v>
      </c>
      <c r="V73" s="167">
        <f t="shared" si="9"/>
        <v>6.34</v>
      </c>
      <c r="W73" s="161">
        <f t="shared" si="10"/>
        <v>6.7</v>
      </c>
      <c r="X73" s="167">
        <f t="shared" si="11"/>
        <v>6.34</v>
      </c>
      <c r="Y73" s="167">
        <f t="shared" si="11"/>
        <v>6.34</v>
      </c>
      <c r="Z73" s="161">
        <f t="shared" si="12"/>
        <v>6.5</v>
      </c>
      <c r="AA73" s="167">
        <f t="shared" si="13"/>
        <v>6.34</v>
      </c>
      <c r="AB73" s="167">
        <f t="shared" si="13"/>
        <v>6.34</v>
      </c>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row>
    <row r="74" spans="1:52" ht="13.5" customHeight="1" x14ac:dyDescent="0.25">
      <c r="B74" s="23">
        <v>68</v>
      </c>
      <c r="C74" s="23">
        <f>YEAR(Input!$E$11)+'Tabellen L'!B74</f>
        <v>1968</v>
      </c>
      <c r="D74" s="172">
        <v>168</v>
      </c>
      <c r="E74" s="152" t="e" vm="1">
        <f t="shared" si="0"/>
        <v>#VALUE!</v>
      </c>
      <c r="F74" s="152" t="e" vm="1">
        <f t="shared" si="0"/>
        <v>#VALUE!</v>
      </c>
      <c r="G74" s="152" t="e" vm="1">
        <f t="shared" si="0"/>
        <v>#VALUE!</v>
      </c>
      <c r="H74" s="152" t="e" vm="1">
        <f t="shared" si="0"/>
        <v>#VALUE!</v>
      </c>
      <c r="I74" s="152" t="e" vm="1">
        <f t="shared" si="0"/>
        <v>#VALUE!</v>
      </c>
      <c r="J74" s="167">
        <f t="shared" si="1"/>
        <v>6.53</v>
      </c>
      <c r="K74" s="152" t="e" vm="1">
        <f t="shared" si="2"/>
        <v>#VALUE!</v>
      </c>
      <c r="L74" s="152" t="e" vm="1">
        <f t="shared" si="2"/>
        <v>#VALUE!</v>
      </c>
      <c r="M74" s="167">
        <f t="shared" si="3"/>
        <v>6.53</v>
      </c>
      <c r="N74" s="152" t="e" vm="1">
        <f t="shared" si="4"/>
        <v>#VALUE!</v>
      </c>
      <c r="O74" s="152" t="e" vm="1">
        <f t="shared" si="4"/>
        <v>#VALUE!</v>
      </c>
      <c r="P74" s="167">
        <f t="shared" si="5"/>
        <v>6.53</v>
      </c>
      <c r="Q74" s="161">
        <f t="shared" si="6"/>
        <v>7.25</v>
      </c>
      <c r="R74" s="167">
        <f t="shared" si="7"/>
        <v>6.53</v>
      </c>
      <c r="S74" s="167">
        <f t="shared" si="7"/>
        <v>6.53</v>
      </c>
      <c r="T74" s="161">
        <f t="shared" si="8"/>
        <v>7.05</v>
      </c>
      <c r="U74" s="167">
        <f t="shared" si="9"/>
        <v>6.53</v>
      </c>
      <c r="V74" s="167">
        <f t="shared" si="9"/>
        <v>6.53</v>
      </c>
      <c r="W74" s="161">
        <f t="shared" si="10"/>
        <v>6.85</v>
      </c>
      <c r="X74" s="167">
        <f t="shared" si="11"/>
        <v>6.53</v>
      </c>
      <c r="Y74" s="167">
        <f t="shared" si="11"/>
        <v>6.53</v>
      </c>
      <c r="Z74" s="161">
        <f t="shared" si="12"/>
        <v>6.6499999999999897</v>
      </c>
      <c r="AA74" s="167">
        <f t="shared" si="13"/>
        <v>6.53</v>
      </c>
      <c r="AB74" s="167">
        <f t="shared" si="13"/>
        <v>6.53</v>
      </c>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row>
    <row r="75" spans="1:52" ht="13.5" customHeight="1" x14ac:dyDescent="0.25">
      <c r="B75" s="23">
        <v>69</v>
      </c>
      <c r="C75" s="23">
        <f>YEAR(Input!$E$11)+'Tabellen L'!B75</f>
        <v>1969</v>
      </c>
      <c r="D75" s="172">
        <v>169</v>
      </c>
      <c r="E75" s="152" t="e" vm="1">
        <f t="shared" si="0"/>
        <v>#VALUE!</v>
      </c>
      <c r="F75" s="152" t="e" vm="1">
        <f t="shared" si="0"/>
        <v>#VALUE!</v>
      </c>
      <c r="G75" s="152" t="e" vm="1">
        <f t="shared" si="0"/>
        <v>#VALUE!</v>
      </c>
      <c r="H75" s="152" t="e" vm="1">
        <f t="shared" si="0"/>
        <v>#VALUE!</v>
      </c>
      <c r="I75" s="152" t="e" vm="1">
        <f t="shared" si="0"/>
        <v>#VALUE!</v>
      </c>
      <c r="J75" s="169">
        <f t="shared" si="1"/>
        <v>6.73</v>
      </c>
      <c r="K75" s="152" t="e" vm="1">
        <f t="shared" si="2"/>
        <v>#VALUE!</v>
      </c>
      <c r="L75" s="152" t="e" vm="1">
        <f t="shared" si="2"/>
        <v>#VALUE!</v>
      </c>
      <c r="M75" s="169">
        <f t="shared" si="3"/>
        <v>6.73</v>
      </c>
      <c r="N75" s="152" t="e" vm="1">
        <f t="shared" si="4"/>
        <v>#VALUE!</v>
      </c>
      <c r="O75" s="152" t="e" vm="1">
        <f t="shared" si="4"/>
        <v>#VALUE!</v>
      </c>
      <c r="P75" s="169">
        <f t="shared" si="5"/>
        <v>6.73</v>
      </c>
      <c r="Q75" s="161">
        <f t="shared" si="6"/>
        <v>7.4</v>
      </c>
      <c r="R75" s="169">
        <f t="shared" si="7"/>
        <v>6.73</v>
      </c>
      <c r="S75" s="169">
        <f t="shared" si="7"/>
        <v>6.73</v>
      </c>
      <c r="T75" s="161">
        <f t="shared" si="8"/>
        <v>7.2</v>
      </c>
      <c r="U75" s="169">
        <f t="shared" si="9"/>
        <v>6.73</v>
      </c>
      <c r="V75" s="169">
        <f t="shared" si="9"/>
        <v>6.73</v>
      </c>
      <c r="W75" s="161">
        <f t="shared" si="10"/>
        <v>7</v>
      </c>
      <c r="X75" s="169">
        <f t="shared" si="11"/>
        <v>6.73</v>
      </c>
      <c r="Y75" s="169">
        <f t="shared" si="11"/>
        <v>6.73</v>
      </c>
      <c r="Z75" s="161">
        <f t="shared" si="12"/>
        <v>6.7999999999999901</v>
      </c>
      <c r="AA75" s="169">
        <f t="shared" si="13"/>
        <v>6.73</v>
      </c>
      <c r="AB75" s="169">
        <f t="shared" si="13"/>
        <v>6.73</v>
      </c>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row>
    <row r="76" spans="1:52" s="133" customFormat="1" ht="13.5" customHeight="1" thickBot="1" x14ac:dyDescent="0.3">
      <c r="B76" s="162">
        <v>70</v>
      </c>
      <c r="C76" s="162">
        <f>YEAR(Input!$E$11)+'Tabellen L'!B76</f>
        <v>1970</v>
      </c>
      <c r="D76" s="157">
        <v>170</v>
      </c>
      <c r="E76" s="163" t="e" vm="1">
        <f t="shared" si="0"/>
        <v>#VALUE!</v>
      </c>
      <c r="F76" s="163" t="e" vm="1">
        <f t="shared" si="0"/>
        <v>#VALUE!</v>
      </c>
      <c r="G76" s="163" t="e" vm="1">
        <f t="shared" si="0"/>
        <v>#VALUE!</v>
      </c>
      <c r="H76" s="163" t="e" vm="1">
        <f t="shared" si="0"/>
        <v>#VALUE!</v>
      </c>
      <c r="I76" s="163" t="e" vm="1">
        <f t="shared" si="0"/>
        <v>#VALUE!</v>
      </c>
      <c r="J76" s="168">
        <f t="shared" si="1"/>
        <v>6.95</v>
      </c>
      <c r="K76" s="163" t="e" vm="1">
        <f t="shared" si="2"/>
        <v>#VALUE!</v>
      </c>
      <c r="L76" s="163" t="e" vm="1">
        <f t="shared" si="2"/>
        <v>#VALUE!</v>
      </c>
      <c r="M76" s="168">
        <f t="shared" si="3"/>
        <v>6.95</v>
      </c>
      <c r="N76" s="163" t="e" vm="1">
        <f t="shared" si="4"/>
        <v>#VALUE!</v>
      </c>
      <c r="O76" s="163" t="e" vm="1">
        <f t="shared" si="4"/>
        <v>#VALUE!</v>
      </c>
      <c r="P76" s="168">
        <f t="shared" si="5"/>
        <v>6.95</v>
      </c>
      <c r="Q76" s="165">
        <f t="shared" si="6"/>
        <v>7.55</v>
      </c>
      <c r="R76" s="168">
        <f t="shared" si="7"/>
        <v>6.95</v>
      </c>
      <c r="S76" s="168">
        <f t="shared" si="7"/>
        <v>6.95</v>
      </c>
      <c r="T76" s="165">
        <f t="shared" si="8"/>
        <v>7.35</v>
      </c>
      <c r="U76" s="168">
        <f t="shared" si="9"/>
        <v>6.95</v>
      </c>
      <c r="V76" s="168">
        <f t="shared" si="9"/>
        <v>6.95</v>
      </c>
      <c r="W76" s="165">
        <f t="shared" si="10"/>
        <v>7.15</v>
      </c>
      <c r="X76" s="168">
        <f t="shared" si="11"/>
        <v>6.95</v>
      </c>
      <c r="Y76" s="168">
        <f t="shared" si="11"/>
        <v>6.95</v>
      </c>
      <c r="Z76" s="165">
        <f t="shared" si="12"/>
        <v>6.9499999999999904</v>
      </c>
      <c r="AA76" s="168">
        <f t="shared" si="13"/>
        <v>6.95</v>
      </c>
      <c r="AB76" s="168">
        <f t="shared" si="13"/>
        <v>6.95</v>
      </c>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c r="AY76" s="164"/>
      <c r="AZ76" s="164"/>
    </row>
    <row r="77" spans="1:52" ht="13.5" customHeight="1" x14ac:dyDescent="0.25">
      <c r="A77" s="141" t="s">
        <v>111</v>
      </c>
      <c r="B77" s="23">
        <v>58</v>
      </c>
      <c r="C77" s="23">
        <f>YEAR(Input!$E$11)+'Tabellen L'!B77</f>
        <v>1958</v>
      </c>
      <c r="D77" s="172">
        <v>258</v>
      </c>
      <c r="E77" s="160" t="e" vm="1">
        <f t="shared" ref="E77:I89" si="14">VLOOKUP($B77,$B$19:$K$31,$C$58)</f>
        <v>#VALUE!</v>
      </c>
      <c r="F77" s="160" t="e" vm="1">
        <f t="shared" si="14"/>
        <v>#VALUE!</v>
      </c>
      <c r="G77" s="160" t="e" vm="1">
        <f t="shared" si="14"/>
        <v>#VALUE!</v>
      </c>
      <c r="H77" s="160" t="e" vm="1">
        <f t="shared" si="14"/>
        <v>#VALUE!</v>
      </c>
      <c r="I77" s="160" t="e" vm="1">
        <f t="shared" si="14"/>
        <v>#VALUE!</v>
      </c>
      <c r="J77" s="167">
        <f t="shared" si="1"/>
        <v>5.07</v>
      </c>
      <c r="K77" s="160" t="e" vm="1">
        <f t="shared" ref="K77:L89" si="15">VLOOKUP($B77,$B$19:$K$31,$C$58)</f>
        <v>#VALUE!</v>
      </c>
      <c r="L77" s="160" t="e" vm="1">
        <f t="shared" si="15"/>
        <v>#VALUE!</v>
      </c>
      <c r="M77" s="167">
        <f t="shared" si="3"/>
        <v>5.07</v>
      </c>
      <c r="N77" s="160" t="e" vm="1">
        <f t="shared" ref="N77:O89" si="16">VLOOKUP($B77,$B$19:$K$31,$C$58)</f>
        <v>#VALUE!</v>
      </c>
      <c r="O77" s="160" t="e" vm="1">
        <f t="shared" si="16"/>
        <v>#VALUE!</v>
      </c>
      <c r="P77" s="167">
        <f t="shared" si="5"/>
        <v>5.07</v>
      </c>
      <c r="Q77" s="161">
        <f t="shared" si="6"/>
        <v>5.75</v>
      </c>
      <c r="R77" s="167">
        <f t="shared" si="7"/>
        <v>5.07</v>
      </c>
      <c r="S77" s="167">
        <f t="shared" si="7"/>
        <v>5.07</v>
      </c>
      <c r="T77" s="161">
        <f t="shared" si="8"/>
        <v>5.55</v>
      </c>
      <c r="U77" s="167">
        <f t="shared" si="9"/>
        <v>5.07</v>
      </c>
      <c r="V77" s="167">
        <f t="shared" si="9"/>
        <v>5.07</v>
      </c>
      <c r="W77" s="161">
        <f t="shared" si="10"/>
        <v>5.35</v>
      </c>
      <c r="X77" s="167">
        <f t="shared" si="11"/>
        <v>5.07</v>
      </c>
      <c r="Y77" s="167">
        <f t="shared" si="11"/>
        <v>5.07</v>
      </c>
      <c r="Z77" s="161">
        <f t="shared" si="12"/>
        <v>5.15</v>
      </c>
      <c r="AA77" s="167">
        <f t="shared" si="13"/>
        <v>5.07</v>
      </c>
      <c r="AB77" s="167">
        <f t="shared" si="13"/>
        <v>5.07</v>
      </c>
    </row>
    <row r="78" spans="1:52" ht="13.5" customHeight="1" x14ac:dyDescent="0.25">
      <c r="B78" s="23">
        <v>59</v>
      </c>
      <c r="C78" s="23">
        <f>YEAR(Input!$E$11)+'Tabellen L'!B78</f>
        <v>1959</v>
      </c>
      <c r="D78" s="172">
        <v>259</v>
      </c>
      <c r="E78" s="160" t="e" vm="1">
        <f t="shared" si="14"/>
        <v>#VALUE!</v>
      </c>
      <c r="F78" s="160" t="e" vm="1">
        <f t="shared" si="14"/>
        <v>#VALUE!</v>
      </c>
      <c r="G78" s="160" t="e" vm="1">
        <f t="shared" si="14"/>
        <v>#VALUE!</v>
      </c>
      <c r="H78" s="160" t="e" vm="1">
        <f t="shared" si="14"/>
        <v>#VALUE!</v>
      </c>
      <c r="I78" s="160" t="e" vm="1">
        <f t="shared" si="14"/>
        <v>#VALUE!</v>
      </c>
      <c r="J78" s="167">
        <f t="shared" si="1"/>
        <v>5.19</v>
      </c>
      <c r="K78" s="160" t="e" vm="1">
        <f t="shared" si="15"/>
        <v>#VALUE!</v>
      </c>
      <c r="L78" s="160" t="e" vm="1">
        <f t="shared" si="15"/>
        <v>#VALUE!</v>
      </c>
      <c r="M78" s="167">
        <f t="shared" si="3"/>
        <v>5.19</v>
      </c>
      <c r="N78" s="160" t="e" vm="1">
        <f t="shared" si="16"/>
        <v>#VALUE!</v>
      </c>
      <c r="O78" s="160" t="e" vm="1">
        <f t="shared" si="16"/>
        <v>#VALUE!</v>
      </c>
      <c r="P78" s="167">
        <f t="shared" si="5"/>
        <v>5.19</v>
      </c>
      <c r="Q78" s="161">
        <f t="shared" si="6"/>
        <v>5.95</v>
      </c>
      <c r="R78" s="167">
        <f t="shared" si="7"/>
        <v>5.19</v>
      </c>
      <c r="S78" s="167">
        <f t="shared" si="7"/>
        <v>5.19</v>
      </c>
      <c r="T78" s="161">
        <f t="shared" si="8"/>
        <v>5.7</v>
      </c>
      <c r="U78" s="167">
        <f t="shared" si="9"/>
        <v>5.19</v>
      </c>
      <c r="V78" s="167">
        <f t="shared" si="9"/>
        <v>5.19</v>
      </c>
      <c r="W78" s="161">
        <f t="shared" si="10"/>
        <v>5.5</v>
      </c>
      <c r="X78" s="167">
        <f t="shared" si="11"/>
        <v>5.19</v>
      </c>
      <c r="Y78" s="167">
        <f t="shared" si="11"/>
        <v>5.19</v>
      </c>
      <c r="Z78" s="161">
        <f t="shared" si="12"/>
        <v>5.3</v>
      </c>
      <c r="AA78" s="167">
        <f t="shared" si="13"/>
        <v>5.19</v>
      </c>
      <c r="AB78" s="167">
        <f t="shared" si="13"/>
        <v>5.19</v>
      </c>
    </row>
    <row r="79" spans="1:52" ht="13.5" customHeight="1" x14ac:dyDescent="0.25">
      <c r="B79" s="23">
        <v>60</v>
      </c>
      <c r="C79" s="23">
        <f>YEAR(Input!$E$11)+'Tabellen L'!B79</f>
        <v>1960</v>
      </c>
      <c r="D79" s="172">
        <v>260</v>
      </c>
      <c r="E79" s="160" t="e" vm="1">
        <f t="shared" si="14"/>
        <v>#VALUE!</v>
      </c>
      <c r="F79" s="160" t="e" vm="1">
        <f t="shared" si="14"/>
        <v>#VALUE!</v>
      </c>
      <c r="G79" s="160" t="e" vm="1">
        <f t="shared" si="14"/>
        <v>#VALUE!</v>
      </c>
      <c r="H79" s="160" t="e" vm="1">
        <f t="shared" si="14"/>
        <v>#VALUE!</v>
      </c>
      <c r="I79" s="160" t="e" vm="1">
        <f t="shared" si="14"/>
        <v>#VALUE!</v>
      </c>
      <c r="J79" s="167">
        <f t="shared" si="1"/>
        <v>5.31</v>
      </c>
      <c r="K79" s="160" t="e" vm="1">
        <f t="shared" si="15"/>
        <v>#VALUE!</v>
      </c>
      <c r="L79" s="160" t="e" vm="1">
        <f t="shared" si="15"/>
        <v>#VALUE!</v>
      </c>
      <c r="M79" s="167">
        <f t="shared" si="3"/>
        <v>5.31</v>
      </c>
      <c r="N79" s="160" t="e" vm="1">
        <f t="shared" si="16"/>
        <v>#VALUE!</v>
      </c>
      <c r="O79" s="160" t="e" vm="1">
        <f t="shared" si="16"/>
        <v>#VALUE!</v>
      </c>
      <c r="P79" s="167">
        <f t="shared" si="5"/>
        <v>5.31</v>
      </c>
      <c r="Q79" s="161">
        <f t="shared" si="6"/>
        <v>6.05</v>
      </c>
      <c r="R79" s="167">
        <f t="shared" si="7"/>
        <v>5.31</v>
      </c>
      <c r="S79" s="167">
        <f t="shared" si="7"/>
        <v>5.31</v>
      </c>
      <c r="T79" s="161">
        <f t="shared" si="8"/>
        <v>5.85</v>
      </c>
      <c r="U79" s="167">
        <f t="shared" si="9"/>
        <v>5.31</v>
      </c>
      <c r="V79" s="167">
        <f t="shared" si="9"/>
        <v>5.31</v>
      </c>
      <c r="W79" s="161">
        <f t="shared" si="10"/>
        <v>5.65</v>
      </c>
      <c r="X79" s="167">
        <f t="shared" si="11"/>
        <v>5.31</v>
      </c>
      <c r="Y79" s="167">
        <f t="shared" si="11"/>
        <v>5.31</v>
      </c>
      <c r="Z79" s="161">
        <f t="shared" si="12"/>
        <v>5.45</v>
      </c>
      <c r="AA79" s="167">
        <f t="shared" si="13"/>
        <v>5.31</v>
      </c>
      <c r="AB79" s="167">
        <f t="shared" si="13"/>
        <v>5.31</v>
      </c>
    </row>
    <row r="80" spans="1:52" ht="13.5" customHeight="1" x14ac:dyDescent="0.25">
      <c r="B80" s="23">
        <v>61</v>
      </c>
      <c r="C80" s="23">
        <f>YEAR(Input!$E$11)+'Tabellen L'!B80</f>
        <v>1961</v>
      </c>
      <c r="D80" s="172">
        <v>261</v>
      </c>
      <c r="E80" s="160" t="e" vm="1">
        <f t="shared" si="14"/>
        <v>#VALUE!</v>
      </c>
      <c r="F80" s="160" t="e" vm="1">
        <f t="shared" si="14"/>
        <v>#VALUE!</v>
      </c>
      <c r="G80" s="160" t="e" vm="1">
        <f t="shared" si="14"/>
        <v>#VALUE!</v>
      </c>
      <c r="H80" s="160" t="e" vm="1">
        <f t="shared" si="14"/>
        <v>#VALUE!</v>
      </c>
      <c r="I80" s="160" t="e" vm="1">
        <f t="shared" si="14"/>
        <v>#VALUE!</v>
      </c>
      <c r="J80" s="167">
        <f t="shared" si="1"/>
        <v>5.44</v>
      </c>
      <c r="K80" s="160" t="e" vm="1">
        <f t="shared" si="15"/>
        <v>#VALUE!</v>
      </c>
      <c r="L80" s="160" t="e" vm="1">
        <f t="shared" si="15"/>
        <v>#VALUE!</v>
      </c>
      <c r="M80" s="167">
        <f t="shared" si="3"/>
        <v>5.44</v>
      </c>
      <c r="N80" s="160" t="e" vm="1">
        <f t="shared" si="16"/>
        <v>#VALUE!</v>
      </c>
      <c r="O80" s="160" t="e" vm="1">
        <f t="shared" si="16"/>
        <v>#VALUE!</v>
      </c>
      <c r="P80" s="167">
        <f t="shared" si="5"/>
        <v>5.44</v>
      </c>
      <c r="Q80" s="161">
        <f t="shared" si="6"/>
        <v>6.2</v>
      </c>
      <c r="R80" s="167">
        <f t="shared" si="7"/>
        <v>5.44</v>
      </c>
      <c r="S80" s="167">
        <f t="shared" si="7"/>
        <v>5.44</v>
      </c>
      <c r="T80" s="161">
        <f t="shared" si="8"/>
        <v>6</v>
      </c>
      <c r="U80" s="167">
        <f t="shared" si="9"/>
        <v>5.44</v>
      </c>
      <c r="V80" s="167">
        <f t="shared" si="9"/>
        <v>5.44</v>
      </c>
      <c r="W80" s="161">
        <f t="shared" si="10"/>
        <v>5.8</v>
      </c>
      <c r="X80" s="167">
        <f t="shared" si="11"/>
        <v>5.44</v>
      </c>
      <c r="Y80" s="167">
        <f t="shared" si="11"/>
        <v>5.44</v>
      </c>
      <c r="Z80" s="161">
        <f t="shared" si="12"/>
        <v>5.6</v>
      </c>
      <c r="AA80" s="167">
        <f t="shared" si="13"/>
        <v>5.44</v>
      </c>
      <c r="AB80" s="167">
        <f t="shared" si="13"/>
        <v>5.44</v>
      </c>
    </row>
    <row r="81" spans="1:28" ht="13.5" customHeight="1" x14ac:dyDescent="0.25">
      <c r="B81" s="23">
        <v>62</v>
      </c>
      <c r="C81" s="23">
        <f>YEAR(Input!$E$11)+'Tabellen L'!B81</f>
        <v>1962</v>
      </c>
      <c r="D81" s="172">
        <v>262</v>
      </c>
      <c r="E81" s="160" t="e" vm="1">
        <f t="shared" si="14"/>
        <v>#VALUE!</v>
      </c>
      <c r="F81" s="160" t="e" vm="1">
        <f t="shared" si="14"/>
        <v>#VALUE!</v>
      </c>
      <c r="G81" s="160" t="e" vm="1">
        <f t="shared" si="14"/>
        <v>#VALUE!</v>
      </c>
      <c r="H81" s="160" t="e" vm="1">
        <f t="shared" si="14"/>
        <v>#VALUE!</v>
      </c>
      <c r="I81" s="160" t="e" vm="1">
        <f t="shared" si="14"/>
        <v>#VALUE!</v>
      </c>
      <c r="J81" s="167">
        <f t="shared" si="1"/>
        <v>5.57</v>
      </c>
      <c r="K81" s="160" t="e" vm="1">
        <f t="shared" si="15"/>
        <v>#VALUE!</v>
      </c>
      <c r="L81" s="160" t="e" vm="1">
        <f t="shared" si="15"/>
        <v>#VALUE!</v>
      </c>
      <c r="M81" s="167">
        <f t="shared" si="3"/>
        <v>5.57</v>
      </c>
      <c r="N81" s="160" t="e" vm="1">
        <f t="shared" si="16"/>
        <v>#VALUE!</v>
      </c>
      <c r="O81" s="160" t="e" vm="1">
        <f t="shared" si="16"/>
        <v>#VALUE!</v>
      </c>
      <c r="P81" s="167">
        <f t="shared" si="5"/>
        <v>5.57</v>
      </c>
      <c r="Q81" s="161">
        <f t="shared" si="6"/>
        <v>6.35</v>
      </c>
      <c r="R81" s="167">
        <f t="shared" si="7"/>
        <v>5.57</v>
      </c>
      <c r="S81" s="167">
        <f t="shared" si="7"/>
        <v>5.57</v>
      </c>
      <c r="T81" s="161">
        <f t="shared" si="8"/>
        <v>6.15</v>
      </c>
      <c r="U81" s="167">
        <f t="shared" si="9"/>
        <v>5.57</v>
      </c>
      <c r="V81" s="167">
        <f t="shared" si="9"/>
        <v>5.57</v>
      </c>
      <c r="W81" s="161">
        <f t="shared" si="10"/>
        <v>5.95</v>
      </c>
      <c r="X81" s="167">
        <f t="shared" si="11"/>
        <v>5.57</v>
      </c>
      <c r="Y81" s="167">
        <f t="shared" si="11"/>
        <v>5.57</v>
      </c>
      <c r="Z81" s="161">
        <f t="shared" si="12"/>
        <v>5.75</v>
      </c>
      <c r="AA81" s="167">
        <f t="shared" si="13"/>
        <v>5.57</v>
      </c>
      <c r="AB81" s="167">
        <f t="shared" si="13"/>
        <v>5.57</v>
      </c>
    </row>
    <row r="82" spans="1:28" ht="13.5" customHeight="1" x14ac:dyDescent="0.25">
      <c r="B82" s="23">
        <v>63</v>
      </c>
      <c r="C82" s="23">
        <f>YEAR(Input!$E$11)+'Tabellen L'!B82</f>
        <v>1963</v>
      </c>
      <c r="D82" s="172">
        <v>263</v>
      </c>
      <c r="E82" s="160" t="e" vm="1">
        <f t="shared" si="14"/>
        <v>#VALUE!</v>
      </c>
      <c r="F82" s="160" t="e" vm="1">
        <f t="shared" si="14"/>
        <v>#VALUE!</v>
      </c>
      <c r="G82" s="160" t="e" vm="1">
        <f t="shared" si="14"/>
        <v>#VALUE!</v>
      </c>
      <c r="H82" s="160" t="e" vm="1">
        <f t="shared" si="14"/>
        <v>#VALUE!</v>
      </c>
      <c r="I82" s="160" t="e" vm="1">
        <f t="shared" si="14"/>
        <v>#VALUE!</v>
      </c>
      <c r="J82" s="167">
        <f t="shared" si="1"/>
        <v>5.71</v>
      </c>
      <c r="K82" s="160" t="e" vm="1">
        <f t="shared" si="15"/>
        <v>#VALUE!</v>
      </c>
      <c r="L82" s="160" t="e" vm="1">
        <f t="shared" si="15"/>
        <v>#VALUE!</v>
      </c>
      <c r="M82" s="167">
        <f t="shared" si="3"/>
        <v>5.71</v>
      </c>
      <c r="N82" s="160" t="e" vm="1">
        <f t="shared" si="16"/>
        <v>#VALUE!</v>
      </c>
      <c r="O82" s="160" t="e" vm="1">
        <f t="shared" si="16"/>
        <v>#VALUE!</v>
      </c>
      <c r="P82" s="167">
        <f t="shared" si="5"/>
        <v>5.71</v>
      </c>
      <c r="Q82" s="161">
        <f t="shared" si="6"/>
        <v>6.5</v>
      </c>
      <c r="R82" s="167">
        <f t="shared" si="7"/>
        <v>5.71</v>
      </c>
      <c r="S82" s="167">
        <f t="shared" si="7"/>
        <v>5.71</v>
      </c>
      <c r="T82" s="161">
        <f t="shared" si="8"/>
        <v>6.3</v>
      </c>
      <c r="U82" s="167">
        <f t="shared" si="9"/>
        <v>5.71</v>
      </c>
      <c r="V82" s="167">
        <f t="shared" si="9"/>
        <v>5.71</v>
      </c>
      <c r="W82" s="161">
        <f t="shared" si="10"/>
        <v>6.1</v>
      </c>
      <c r="X82" s="167">
        <f t="shared" si="11"/>
        <v>5.71</v>
      </c>
      <c r="Y82" s="167">
        <f t="shared" si="11"/>
        <v>5.71</v>
      </c>
      <c r="Z82" s="161">
        <f t="shared" si="12"/>
        <v>5.9</v>
      </c>
      <c r="AA82" s="167">
        <f t="shared" si="13"/>
        <v>5.71</v>
      </c>
      <c r="AB82" s="167">
        <f t="shared" si="13"/>
        <v>5.71</v>
      </c>
    </row>
    <row r="83" spans="1:28" ht="13.5" customHeight="1" x14ac:dyDescent="0.25">
      <c r="B83" s="23">
        <v>64</v>
      </c>
      <c r="C83" s="23">
        <f>YEAR(Input!$E$11)+'Tabellen L'!B83</f>
        <v>1964</v>
      </c>
      <c r="D83" s="172">
        <v>264</v>
      </c>
      <c r="E83" s="160" t="e" vm="1">
        <f t="shared" si="14"/>
        <v>#VALUE!</v>
      </c>
      <c r="F83" s="160" t="e" vm="1">
        <f t="shared" si="14"/>
        <v>#VALUE!</v>
      </c>
      <c r="G83" s="160" t="e" vm="1">
        <f t="shared" si="14"/>
        <v>#VALUE!</v>
      </c>
      <c r="H83" s="160" t="e" vm="1">
        <f t="shared" si="14"/>
        <v>#VALUE!</v>
      </c>
      <c r="I83" s="160" t="e" vm="1">
        <f t="shared" si="14"/>
        <v>#VALUE!</v>
      </c>
      <c r="J83" s="167">
        <f t="shared" si="1"/>
        <v>5.85</v>
      </c>
      <c r="K83" s="160" t="e" vm="1">
        <f t="shared" si="15"/>
        <v>#VALUE!</v>
      </c>
      <c r="L83" s="160" t="e" vm="1">
        <f t="shared" si="15"/>
        <v>#VALUE!</v>
      </c>
      <c r="M83" s="167">
        <f t="shared" si="3"/>
        <v>5.85</v>
      </c>
      <c r="N83" s="160" t="e" vm="1">
        <f t="shared" si="16"/>
        <v>#VALUE!</v>
      </c>
      <c r="O83" s="160" t="e" vm="1">
        <f t="shared" si="16"/>
        <v>#VALUE!</v>
      </c>
      <c r="P83" s="167">
        <f t="shared" si="5"/>
        <v>5.85</v>
      </c>
      <c r="Q83" s="161">
        <f t="shared" si="6"/>
        <v>6.65</v>
      </c>
      <c r="R83" s="167">
        <f t="shared" si="7"/>
        <v>5.85</v>
      </c>
      <c r="S83" s="167">
        <f t="shared" si="7"/>
        <v>5.85</v>
      </c>
      <c r="T83" s="161">
        <f t="shared" si="8"/>
        <v>6.45</v>
      </c>
      <c r="U83" s="167">
        <f t="shared" si="9"/>
        <v>5.85</v>
      </c>
      <c r="V83" s="167">
        <f t="shared" si="9"/>
        <v>5.85</v>
      </c>
      <c r="W83" s="161">
        <f t="shared" si="10"/>
        <v>6.25</v>
      </c>
      <c r="X83" s="167">
        <f t="shared" si="11"/>
        <v>5.85</v>
      </c>
      <c r="Y83" s="167">
        <f t="shared" si="11"/>
        <v>5.85</v>
      </c>
      <c r="Z83" s="161">
        <f t="shared" si="12"/>
        <v>6.05</v>
      </c>
      <c r="AA83" s="167">
        <f t="shared" si="13"/>
        <v>5.85</v>
      </c>
      <c r="AB83" s="167">
        <f t="shared" si="13"/>
        <v>5.85</v>
      </c>
    </row>
    <row r="84" spans="1:28" ht="13.5" customHeight="1" x14ac:dyDescent="0.25">
      <c r="B84" s="23">
        <v>65</v>
      </c>
      <c r="C84" s="23">
        <f>YEAR(Input!$E$11)+'Tabellen L'!B84</f>
        <v>1965</v>
      </c>
      <c r="D84" s="172">
        <v>265</v>
      </c>
      <c r="E84" s="160" t="e" vm="1">
        <f t="shared" si="14"/>
        <v>#VALUE!</v>
      </c>
      <c r="F84" s="160" t="e" vm="1">
        <f t="shared" si="14"/>
        <v>#VALUE!</v>
      </c>
      <c r="G84" s="160" t="e" vm="1">
        <f t="shared" si="14"/>
        <v>#VALUE!</v>
      </c>
      <c r="H84" s="160" t="e" vm="1">
        <f t="shared" si="14"/>
        <v>#VALUE!</v>
      </c>
      <c r="I84" s="160" t="e" vm="1">
        <f t="shared" si="14"/>
        <v>#VALUE!</v>
      </c>
      <c r="J84" s="167">
        <f t="shared" si="1"/>
        <v>6.01</v>
      </c>
      <c r="K84" s="160" t="e" vm="1">
        <f t="shared" si="15"/>
        <v>#VALUE!</v>
      </c>
      <c r="L84" s="160" t="e" vm="1">
        <f t="shared" si="15"/>
        <v>#VALUE!</v>
      </c>
      <c r="M84" s="167">
        <f t="shared" si="3"/>
        <v>6.01</v>
      </c>
      <c r="N84" s="160" t="e" vm="1">
        <f t="shared" si="16"/>
        <v>#VALUE!</v>
      </c>
      <c r="O84" s="160" t="e" vm="1">
        <f t="shared" si="16"/>
        <v>#VALUE!</v>
      </c>
      <c r="P84" s="167">
        <f t="shared" si="5"/>
        <v>6.01</v>
      </c>
      <c r="Q84" s="161">
        <f t="shared" si="6"/>
        <v>6.8</v>
      </c>
      <c r="R84" s="167">
        <f t="shared" si="7"/>
        <v>6.01</v>
      </c>
      <c r="S84" s="167">
        <f t="shared" si="7"/>
        <v>6.01</v>
      </c>
      <c r="T84" s="161">
        <f t="shared" si="8"/>
        <v>6.6</v>
      </c>
      <c r="U84" s="167">
        <f t="shared" si="9"/>
        <v>6.01</v>
      </c>
      <c r="V84" s="167">
        <f t="shared" si="9"/>
        <v>6.01</v>
      </c>
      <c r="W84" s="161">
        <f t="shared" si="10"/>
        <v>6.4</v>
      </c>
      <c r="X84" s="167">
        <f t="shared" si="11"/>
        <v>6.01</v>
      </c>
      <c r="Y84" s="167">
        <f t="shared" si="11"/>
        <v>6.01</v>
      </c>
      <c r="Z84" s="161">
        <f t="shared" si="12"/>
        <v>6.2</v>
      </c>
      <c r="AA84" s="167">
        <f t="shared" si="13"/>
        <v>6.01</v>
      </c>
      <c r="AB84" s="167">
        <f t="shared" si="13"/>
        <v>6.01</v>
      </c>
    </row>
    <row r="85" spans="1:28" ht="13.5" customHeight="1" x14ac:dyDescent="0.25">
      <c r="B85" s="23">
        <v>66</v>
      </c>
      <c r="C85" s="23">
        <f>YEAR(Input!$E$11)+'Tabellen L'!B85</f>
        <v>1966</v>
      </c>
      <c r="D85" s="172">
        <v>266</v>
      </c>
      <c r="E85" s="160" t="e" vm="1">
        <f t="shared" si="14"/>
        <v>#VALUE!</v>
      </c>
      <c r="F85" s="160" t="e" vm="1">
        <f t="shared" si="14"/>
        <v>#VALUE!</v>
      </c>
      <c r="G85" s="160" t="e" vm="1">
        <f t="shared" si="14"/>
        <v>#VALUE!</v>
      </c>
      <c r="H85" s="160" t="e" vm="1">
        <f t="shared" si="14"/>
        <v>#VALUE!</v>
      </c>
      <c r="I85" s="160" t="e" vm="1">
        <f t="shared" si="14"/>
        <v>#VALUE!</v>
      </c>
      <c r="J85" s="167">
        <f t="shared" si="1"/>
        <v>6.17</v>
      </c>
      <c r="K85" s="160" t="e" vm="1">
        <f t="shared" si="15"/>
        <v>#VALUE!</v>
      </c>
      <c r="L85" s="160" t="e" vm="1">
        <f t="shared" si="15"/>
        <v>#VALUE!</v>
      </c>
      <c r="M85" s="167">
        <f t="shared" si="3"/>
        <v>6.17</v>
      </c>
      <c r="N85" s="160" t="e" vm="1">
        <f t="shared" si="16"/>
        <v>#VALUE!</v>
      </c>
      <c r="O85" s="160" t="e" vm="1">
        <f t="shared" si="16"/>
        <v>#VALUE!</v>
      </c>
      <c r="P85" s="167">
        <f t="shared" si="5"/>
        <v>6.17</v>
      </c>
      <c r="Q85" s="161">
        <f t="shared" si="6"/>
        <v>6.95</v>
      </c>
      <c r="R85" s="167">
        <f t="shared" si="7"/>
        <v>6.17</v>
      </c>
      <c r="S85" s="167">
        <f t="shared" si="7"/>
        <v>6.17</v>
      </c>
      <c r="T85" s="161">
        <f t="shared" si="8"/>
        <v>6.75</v>
      </c>
      <c r="U85" s="167">
        <f t="shared" si="9"/>
        <v>6.17</v>
      </c>
      <c r="V85" s="167">
        <f t="shared" si="9"/>
        <v>6.17</v>
      </c>
      <c r="W85" s="161">
        <f t="shared" si="10"/>
        <v>6.55</v>
      </c>
      <c r="X85" s="167">
        <f t="shared" si="11"/>
        <v>6.17</v>
      </c>
      <c r="Y85" s="167">
        <f t="shared" si="11"/>
        <v>6.17</v>
      </c>
      <c r="Z85" s="161">
        <f t="shared" si="12"/>
        <v>6.35</v>
      </c>
      <c r="AA85" s="167">
        <f t="shared" si="13"/>
        <v>6.17</v>
      </c>
      <c r="AB85" s="167">
        <f t="shared" si="13"/>
        <v>6.17</v>
      </c>
    </row>
    <row r="86" spans="1:28" ht="13.5" customHeight="1" x14ac:dyDescent="0.25">
      <c r="B86" s="23">
        <v>67</v>
      </c>
      <c r="C86" s="23">
        <f>YEAR(Input!$E$11)+'Tabellen L'!B86</f>
        <v>1967</v>
      </c>
      <c r="D86" s="172">
        <v>267</v>
      </c>
      <c r="E86" s="160" t="e" vm="1">
        <f t="shared" si="14"/>
        <v>#VALUE!</v>
      </c>
      <c r="F86" s="160" t="e" vm="1">
        <f t="shared" si="14"/>
        <v>#VALUE!</v>
      </c>
      <c r="G86" s="160" t="e" vm="1">
        <f t="shared" si="14"/>
        <v>#VALUE!</v>
      </c>
      <c r="H86" s="160" t="e" vm="1">
        <f t="shared" si="14"/>
        <v>#VALUE!</v>
      </c>
      <c r="I86" s="160" t="e" vm="1">
        <f t="shared" si="14"/>
        <v>#VALUE!</v>
      </c>
      <c r="J86" s="167">
        <f t="shared" si="1"/>
        <v>6.34</v>
      </c>
      <c r="K86" s="160" t="e" vm="1">
        <f t="shared" si="15"/>
        <v>#VALUE!</v>
      </c>
      <c r="L86" s="160" t="e" vm="1">
        <f t="shared" si="15"/>
        <v>#VALUE!</v>
      </c>
      <c r="M86" s="167">
        <f t="shared" si="3"/>
        <v>6.34</v>
      </c>
      <c r="N86" s="160" t="e" vm="1">
        <f t="shared" si="16"/>
        <v>#VALUE!</v>
      </c>
      <c r="O86" s="160" t="e" vm="1">
        <f t="shared" si="16"/>
        <v>#VALUE!</v>
      </c>
      <c r="P86" s="167">
        <f t="shared" si="5"/>
        <v>6.34</v>
      </c>
      <c r="Q86" s="161">
        <f t="shared" si="6"/>
        <v>7.1</v>
      </c>
      <c r="R86" s="167">
        <f t="shared" si="7"/>
        <v>6.34</v>
      </c>
      <c r="S86" s="167">
        <f t="shared" si="7"/>
        <v>6.34</v>
      </c>
      <c r="T86" s="161">
        <f t="shared" si="8"/>
        <v>6.9</v>
      </c>
      <c r="U86" s="167">
        <f t="shared" si="9"/>
        <v>6.34</v>
      </c>
      <c r="V86" s="167">
        <f t="shared" si="9"/>
        <v>6.34</v>
      </c>
      <c r="W86" s="161">
        <f t="shared" si="10"/>
        <v>6.7</v>
      </c>
      <c r="X86" s="167">
        <f t="shared" si="11"/>
        <v>6.34</v>
      </c>
      <c r="Y86" s="167">
        <f t="shared" si="11"/>
        <v>6.34</v>
      </c>
      <c r="Z86" s="161">
        <f t="shared" si="12"/>
        <v>6.5</v>
      </c>
      <c r="AA86" s="167">
        <f t="shared" si="13"/>
        <v>6.34</v>
      </c>
      <c r="AB86" s="167">
        <f t="shared" si="13"/>
        <v>6.34</v>
      </c>
    </row>
    <row r="87" spans="1:28" ht="13.5" customHeight="1" x14ac:dyDescent="0.25">
      <c r="B87" s="23">
        <v>68</v>
      </c>
      <c r="C87" s="23">
        <f>YEAR(Input!$E$11)+'Tabellen L'!B87</f>
        <v>1968</v>
      </c>
      <c r="D87" s="172">
        <v>268</v>
      </c>
      <c r="E87" s="160" t="e" vm="1">
        <f t="shared" si="14"/>
        <v>#VALUE!</v>
      </c>
      <c r="F87" s="160" t="e" vm="1">
        <f t="shared" si="14"/>
        <v>#VALUE!</v>
      </c>
      <c r="G87" s="160" t="e" vm="1">
        <f t="shared" si="14"/>
        <v>#VALUE!</v>
      </c>
      <c r="H87" s="160" t="e" vm="1">
        <f t="shared" si="14"/>
        <v>#VALUE!</v>
      </c>
      <c r="I87" s="160" t="e" vm="1">
        <f t="shared" si="14"/>
        <v>#VALUE!</v>
      </c>
      <c r="J87" s="167">
        <f t="shared" si="1"/>
        <v>6.53</v>
      </c>
      <c r="K87" s="160" t="e" vm="1">
        <f t="shared" si="15"/>
        <v>#VALUE!</v>
      </c>
      <c r="L87" s="160" t="e" vm="1">
        <f t="shared" si="15"/>
        <v>#VALUE!</v>
      </c>
      <c r="M87" s="167">
        <f t="shared" si="3"/>
        <v>6.53</v>
      </c>
      <c r="N87" s="160" t="e" vm="1">
        <f t="shared" si="16"/>
        <v>#VALUE!</v>
      </c>
      <c r="O87" s="160" t="e" vm="1">
        <f t="shared" si="16"/>
        <v>#VALUE!</v>
      </c>
      <c r="P87" s="167">
        <f t="shared" si="5"/>
        <v>6.53</v>
      </c>
      <c r="Q87" s="161">
        <f t="shared" si="6"/>
        <v>7.25</v>
      </c>
      <c r="R87" s="167">
        <f t="shared" si="7"/>
        <v>6.53</v>
      </c>
      <c r="S87" s="167">
        <f t="shared" si="7"/>
        <v>6.53</v>
      </c>
      <c r="T87" s="161">
        <f t="shared" si="8"/>
        <v>7.05</v>
      </c>
      <c r="U87" s="167">
        <f t="shared" si="9"/>
        <v>6.53</v>
      </c>
      <c r="V87" s="167">
        <f t="shared" si="9"/>
        <v>6.53</v>
      </c>
      <c r="W87" s="161">
        <f t="shared" si="10"/>
        <v>6.85</v>
      </c>
      <c r="X87" s="167">
        <f t="shared" si="11"/>
        <v>6.53</v>
      </c>
      <c r="Y87" s="167">
        <f t="shared" si="11"/>
        <v>6.53</v>
      </c>
      <c r="Z87" s="161">
        <f t="shared" si="12"/>
        <v>6.6499999999999897</v>
      </c>
      <c r="AA87" s="167">
        <f t="shared" si="13"/>
        <v>6.53</v>
      </c>
      <c r="AB87" s="167">
        <f t="shared" si="13"/>
        <v>6.53</v>
      </c>
    </row>
    <row r="88" spans="1:28" ht="13.5" customHeight="1" x14ac:dyDescent="0.25">
      <c r="B88" s="23">
        <v>69</v>
      </c>
      <c r="C88" s="23">
        <f>YEAR(Input!$E$11)+'Tabellen L'!B88</f>
        <v>1969</v>
      </c>
      <c r="D88" s="172">
        <v>269</v>
      </c>
      <c r="E88" s="160" t="e" vm="1">
        <f t="shared" si="14"/>
        <v>#VALUE!</v>
      </c>
      <c r="F88" s="160" t="e" vm="1">
        <f t="shared" si="14"/>
        <v>#VALUE!</v>
      </c>
      <c r="G88" s="160" t="e" vm="1">
        <f t="shared" si="14"/>
        <v>#VALUE!</v>
      </c>
      <c r="H88" s="160" t="e" vm="1">
        <f t="shared" si="14"/>
        <v>#VALUE!</v>
      </c>
      <c r="I88" s="160" t="e" vm="1">
        <f t="shared" si="14"/>
        <v>#VALUE!</v>
      </c>
      <c r="J88" s="167">
        <f t="shared" si="1"/>
        <v>6.73</v>
      </c>
      <c r="K88" s="160" t="e" vm="1">
        <f t="shared" si="15"/>
        <v>#VALUE!</v>
      </c>
      <c r="L88" s="160" t="e" vm="1">
        <f t="shared" si="15"/>
        <v>#VALUE!</v>
      </c>
      <c r="M88" s="167">
        <f t="shared" si="3"/>
        <v>6.73</v>
      </c>
      <c r="N88" s="160" t="e" vm="1">
        <f t="shared" si="16"/>
        <v>#VALUE!</v>
      </c>
      <c r="O88" s="160" t="e" vm="1">
        <f t="shared" si="16"/>
        <v>#VALUE!</v>
      </c>
      <c r="P88" s="167">
        <f t="shared" si="5"/>
        <v>6.73</v>
      </c>
      <c r="Q88" s="161">
        <f t="shared" si="6"/>
        <v>7.4</v>
      </c>
      <c r="R88" s="167">
        <f t="shared" si="7"/>
        <v>6.73</v>
      </c>
      <c r="S88" s="167">
        <f t="shared" si="7"/>
        <v>6.73</v>
      </c>
      <c r="T88" s="161">
        <f t="shared" si="8"/>
        <v>7.2</v>
      </c>
      <c r="U88" s="167">
        <f t="shared" si="9"/>
        <v>6.73</v>
      </c>
      <c r="V88" s="167">
        <f t="shared" si="9"/>
        <v>6.73</v>
      </c>
      <c r="W88" s="161">
        <f t="shared" si="10"/>
        <v>7</v>
      </c>
      <c r="X88" s="167">
        <f t="shared" si="11"/>
        <v>6.73</v>
      </c>
      <c r="Y88" s="167">
        <f t="shared" si="11"/>
        <v>6.73</v>
      </c>
      <c r="Z88" s="161">
        <f t="shared" si="12"/>
        <v>6.7999999999999901</v>
      </c>
      <c r="AA88" s="167">
        <f t="shared" si="13"/>
        <v>6.73</v>
      </c>
      <c r="AB88" s="167">
        <f t="shared" si="13"/>
        <v>6.73</v>
      </c>
    </row>
    <row r="89" spans="1:28" ht="13.5" customHeight="1" x14ac:dyDescent="0.25">
      <c r="B89" s="23">
        <v>70</v>
      </c>
      <c r="C89" s="23">
        <f>YEAR(Input!$E$11)+'Tabellen L'!B89</f>
        <v>1970</v>
      </c>
      <c r="D89" s="172">
        <v>270</v>
      </c>
      <c r="E89" s="160" t="e" vm="1">
        <f t="shared" si="14"/>
        <v>#VALUE!</v>
      </c>
      <c r="F89" s="160" t="e" vm="1">
        <f t="shared" si="14"/>
        <v>#VALUE!</v>
      </c>
      <c r="G89" s="160" t="e" vm="1">
        <f t="shared" si="14"/>
        <v>#VALUE!</v>
      </c>
      <c r="H89" s="160" t="e" vm="1">
        <f t="shared" si="14"/>
        <v>#VALUE!</v>
      </c>
      <c r="I89" s="160" t="e" vm="1">
        <f t="shared" si="14"/>
        <v>#VALUE!</v>
      </c>
      <c r="J89" s="167">
        <f t="shared" si="1"/>
        <v>6.95</v>
      </c>
      <c r="K89" s="160" t="e" vm="1">
        <f t="shared" si="15"/>
        <v>#VALUE!</v>
      </c>
      <c r="L89" s="160" t="e" vm="1">
        <f t="shared" si="15"/>
        <v>#VALUE!</v>
      </c>
      <c r="M89" s="167">
        <f t="shared" si="3"/>
        <v>6.95</v>
      </c>
      <c r="N89" s="160" t="e" vm="1">
        <f t="shared" si="16"/>
        <v>#VALUE!</v>
      </c>
      <c r="O89" s="160" t="e" vm="1">
        <f t="shared" si="16"/>
        <v>#VALUE!</v>
      </c>
      <c r="P89" s="167">
        <f t="shared" si="5"/>
        <v>6.95</v>
      </c>
      <c r="Q89" s="161">
        <f t="shared" si="6"/>
        <v>7.55</v>
      </c>
      <c r="R89" s="167">
        <f t="shared" si="7"/>
        <v>6.95</v>
      </c>
      <c r="S89" s="167">
        <f t="shared" si="7"/>
        <v>6.95</v>
      </c>
      <c r="T89" s="161">
        <f t="shared" si="8"/>
        <v>7.35</v>
      </c>
      <c r="U89" s="167">
        <f t="shared" si="9"/>
        <v>6.95</v>
      </c>
      <c r="V89" s="167">
        <f t="shared" si="9"/>
        <v>6.95</v>
      </c>
      <c r="W89" s="161">
        <f t="shared" si="10"/>
        <v>7.15</v>
      </c>
      <c r="X89" s="167">
        <f t="shared" si="11"/>
        <v>6.95</v>
      </c>
      <c r="Y89" s="167">
        <f t="shared" si="11"/>
        <v>6.95</v>
      </c>
      <c r="Z89" s="166">
        <f t="shared" si="12"/>
        <v>6.9499999999999904</v>
      </c>
      <c r="AA89" s="167">
        <f t="shared" si="13"/>
        <v>6.95</v>
      </c>
      <c r="AB89" s="167">
        <f t="shared" si="13"/>
        <v>6.95</v>
      </c>
    </row>
    <row r="92" spans="1:28" ht="17.399999999999999" x14ac:dyDescent="0.3">
      <c r="A92" s="28" t="s">
        <v>101</v>
      </c>
      <c r="B92" s="29"/>
    </row>
    <row r="93" spans="1:28" ht="17.399999999999999" x14ac:dyDescent="0.3">
      <c r="A93" s="28"/>
      <c r="B93" s="29"/>
    </row>
    <row r="94" spans="1:28" s="33" customFormat="1" ht="10.8" x14ac:dyDescent="0.2">
      <c r="A94" s="33">
        <v>1</v>
      </c>
      <c r="B94" s="34">
        <v>2</v>
      </c>
      <c r="C94" s="33">
        <v>3</v>
      </c>
      <c r="D94" s="33">
        <v>4</v>
      </c>
      <c r="E94" s="33">
        <v>5</v>
      </c>
      <c r="F94" s="33">
        <v>6</v>
      </c>
      <c r="G94" s="33">
        <v>7</v>
      </c>
      <c r="H94" s="33">
        <v>8</v>
      </c>
      <c r="I94" s="33">
        <v>9</v>
      </c>
    </row>
    <row r="95" spans="1:28" x14ac:dyDescent="0.25">
      <c r="B95" s="80" t="s">
        <v>4</v>
      </c>
      <c r="C95" s="79" t="s">
        <v>5</v>
      </c>
      <c r="D95" s="79" t="s">
        <v>6</v>
      </c>
      <c r="E95" s="79" t="s">
        <v>7</v>
      </c>
      <c r="F95" s="79" t="s">
        <v>8</v>
      </c>
      <c r="G95" s="79" t="s">
        <v>107</v>
      </c>
      <c r="H95" s="79" t="s">
        <v>13</v>
      </c>
      <c r="I95" s="79" t="s">
        <v>14</v>
      </c>
    </row>
    <row r="96" spans="1:28" x14ac:dyDescent="0.25">
      <c r="A96" s="81">
        <v>26</v>
      </c>
      <c r="B96" s="230">
        <v>7.0000000000000007E-2</v>
      </c>
      <c r="C96" s="230">
        <v>0.11</v>
      </c>
      <c r="D96" s="230">
        <v>0.16500000000000001</v>
      </c>
      <c r="E96" s="230">
        <v>0.2</v>
      </c>
      <c r="F96" s="230">
        <v>0.21</v>
      </c>
      <c r="G96" s="230">
        <v>0</v>
      </c>
      <c r="H96" s="230">
        <v>0.02</v>
      </c>
      <c r="I96" s="230">
        <v>0.04</v>
      </c>
    </row>
    <row r="97" spans="1:9" x14ac:dyDescent="0.25">
      <c r="A97" s="81">
        <v>27</v>
      </c>
      <c r="B97" s="230">
        <v>0.14099999999999999</v>
      </c>
      <c r="C97" s="230">
        <v>0.222</v>
      </c>
      <c r="D97" s="230">
        <v>0.33300000000000002</v>
      </c>
      <c r="E97" s="230">
        <v>0.40400000000000003</v>
      </c>
      <c r="F97" s="230">
        <v>0.42299999999999999</v>
      </c>
      <c r="G97" s="230">
        <v>0</v>
      </c>
      <c r="H97" s="230">
        <v>0.04</v>
      </c>
      <c r="I97" s="230">
        <v>8.1000000000000003E-2</v>
      </c>
    </row>
    <row r="98" spans="1:9" x14ac:dyDescent="0.25">
      <c r="A98" s="81">
        <v>28</v>
      </c>
      <c r="B98" s="230">
        <v>0.214</v>
      </c>
      <c r="C98" s="230">
        <v>0.33700000000000002</v>
      </c>
      <c r="D98" s="230">
        <v>0.505</v>
      </c>
      <c r="E98" s="230">
        <v>0.61199999999999999</v>
      </c>
      <c r="F98" s="230">
        <v>0.63800000000000001</v>
      </c>
      <c r="G98" s="230">
        <v>0</v>
      </c>
      <c r="H98" s="230">
        <v>6.0999999999999999E-2</v>
      </c>
      <c r="I98" s="230">
        <v>0.122</v>
      </c>
    </row>
    <row r="99" spans="1:9" x14ac:dyDescent="0.25">
      <c r="A99" s="81">
        <v>29</v>
      </c>
      <c r="B99" s="230">
        <v>0.28899999999999998</v>
      </c>
      <c r="C99" s="230">
        <v>0.45300000000000001</v>
      </c>
      <c r="D99" s="230">
        <v>0.68</v>
      </c>
      <c r="E99" s="230">
        <v>0.82399999999999995</v>
      </c>
      <c r="F99" s="230">
        <v>0.85499999999999998</v>
      </c>
      <c r="G99" s="230">
        <v>0</v>
      </c>
      <c r="H99" s="230">
        <v>8.2000000000000003E-2</v>
      </c>
      <c r="I99" s="230">
        <v>0.16500000000000001</v>
      </c>
    </row>
    <row r="100" spans="1:9" x14ac:dyDescent="0.25">
      <c r="A100" s="81">
        <v>30</v>
      </c>
      <c r="B100" s="230">
        <v>0.36399999999999999</v>
      </c>
      <c r="C100" s="230">
        <v>0.57199999999999995</v>
      </c>
      <c r="D100" s="230">
        <v>0.85899999999999999</v>
      </c>
      <c r="E100" s="230">
        <v>1.04</v>
      </c>
      <c r="F100" s="230">
        <v>1.0760000000000001</v>
      </c>
      <c r="G100" s="230">
        <v>0</v>
      </c>
      <c r="H100" s="230">
        <v>0.104</v>
      </c>
      <c r="I100" s="230">
        <v>0.20799999999999999</v>
      </c>
    </row>
    <row r="101" spans="1:9" x14ac:dyDescent="0.25">
      <c r="A101" s="81">
        <v>31</v>
      </c>
      <c r="B101" s="230">
        <v>0.442</v>
      </c>
      <c r="C101" s="230">
        <v>0.69399999999999995</v>
      </c>
      <c r="D101" s="230">
        <v>1.0409999999999999</v>
      </c>
      <c r="E101" s="230">
        <v>1.26</v>
      </c>
      <c r="F101" s="230">
        <v>1.298</v>
      </c>
      <c r="G101" s="230">
        <v>0</v>
      </c>
      <c r="H101" s="230">
        <v>0.126</v>
      </c>
      <c r="I101" s="230">
        <v>0.252</v>
      </c>
    </row>
    <row r="102" spans="1:9" x14ac:dyDescent="0.25">
      <c r="A102" s="81">
        <v>32</v>
      </c>
      <c r="B102" s="230">
        <v>0.52</v>
      </c>
      <c r="C102" s="230">
        <v>0.81799999999999995</v>
      </c>
      <c r="D102" s="230">
        <v>1.2270000000000001</v>
      </c>
      <c r="E102" s="230">
        <v>1.4850000000000001</v>
      </c>
      <c r="F102" s="230">
        <v>1.524</v>
      </c>
      <c r="G102" s="230">
        <v>0</v>
      </c>
      <c r="H102" s="230">
        <v>0.14899999999999999</v>
      </c>
      <c r="I102" s="230">
        <v>0.29699999999999999</v>
      </c>
    </row>
    <row r="103" spans="1:9" x14ac:dyDescent="0.25">
      <c r="A103" s="81">
        <v>33</v>
      </c>
      <c r="B103" s="230">
        <v>0.60099999999999998</v>
      </c>
      <c r="C103" s="230">
        <v>0.94399999999999995</v>
      </c>
      <c r="D103" s="230">
        <v>1.4159999999999999</v>
      </c>
      <c r="E103" s="230">
        <v>1.714</v>
      </c>
      <c r="F103" s="230">
        <v>1.752</v>
      </c>
      <c r="G103" s="230">
        <v>0</v>
      </c>
      <c r="H103" s="230">
        <v>0.17199999999999999</v>
      </c>
      <c r="I103" s="230">
        <v>0.34300000000000003</v>
      </c>
    </row>
    <row r="104" spans="1:9" x14ac:dyDescent="0.25">
      <c r="A104" s="81">
        <v>34</v>
      </c>
      <c r="B104" s="230">
        <v>0.68300000000000005</v>
      </c>
      <c r="C104" s="230">
        <v>1.073</v>
      </c>
      <c r="D104" s="230">
        <v>1.61</v>
      </c>
      <c r="E104" s="230">
        <v>1.9470000000000001</v>
      </c>
      <c r="F104" s="230">
        <v>1.9830000000000001</v>
      </c>
      <c r="G104" s="230">
        <v>0</v>
      </c>
      <c r="H104" s="230">
        <v>0.19500000000000001</v>
      </c>
      <c r="I104" s="230">
        <v>0.39</v>
      </c>
    </row>
    <row r="105" spans="1:9" x14ac:dyDescent="0.25">
      <c r="A105" s="81">
        <v>35</v>
      </c>
      <c r="B105" s="230">
        <v>0.76600000000000001</v>
      </c>
      <c r="C105" s="230">
        <v>1.204</v>
      </c>
      <c r="D105" s="230">
        <v>1.8069999999999999</v>
      </c>
      <c r="E105" s="230">
        <v>2.1850000000000001</v>
      </c>
      <c r="F105" s="230">
        <v>2.2170000000000001</v>
      </c>
      <c r="G105" s="230">
        <v>0</v>
      </c>
      <c r="H105" s="230">
        <v>0.219</v>
      </c>
      <c r="I105" s="230">
        <v>0.438</v>
      </c>
    </row>
    <row r="106" spans="1:9" x14ac:dyDescent="0.25">
      <c r="A106" s="81">
        <v>36</v>
      </c>
      <c r="B106" s="230">
        <v>0.88200000000000001</v>
      </c>
      <c r="C106" s="230">
        <v>1.349</v>
      </c>
      <c r="D106" s="230">
        <v>2.008</v>
      </c>
      <c r="E106" s="230">
        <v>2.4279999999999999</v>
      </c>
      <c r="F106" s="230">
        <v>2.464</v>
      </c>
      <c r="G106" s="230">
        <v>0</v>
      </c>
      <c r="H106" s="230">
        <v>0.24299999999999999</v>
      </c>
      <c r="I106" s="230">
        <v>0.47699999999999998</v>
      </c>
    </row>
    <row r="107" spans="1:9" x14ac:dyDescent="0.25">
      <c r="A107" s="81">
        <v>37</v>
      </c>
      <c r="B107" s="230">
        <v>0.999</v>
      </c>
      <c r="C107" s="230">
        <v>1.496</v>
      </c>
      <c r="D107" s="230">
        <v>2.2130000000000001</v>
      </c>
      <c r="E107" s="230">
        <v>2.6749999999999998</v>
      </c>
      <c r="F107" s="230">
        <v>2.7130000000000001</v>
      </c>
      <c r="G107" s="230">
        <v>0</v>
      </c>
      <c r="H107" s="230">
        <v>0.26800000000000002</v>
      </c>
      <c r="I107" s="230">
        <v>0.51600000000000001</v>
      </c>
    </row>
    <row r="108" spans="1:9" x14ac:dyDescent="0.25">
      <c r="A108" s="81">
        <v>38</v>
      </c>
      <c r="B108" s="230">
        <v>1.119</v>
      </c>
      <c r="C108" s="230">
        <v>1.645</v>
      </c>
      <c r="D108" s="230">
        <v>2.4220000000000002</v>
      </c>
      <c r="E108" s="230">
        <v>2.927</v>
      </c>
      <c r="F108" s="230">
        <v>2.9660000000000002</v>
      </c>
      <c r="G108" s="230">
        <v>0</v>
      </c>
      <c r="H108" s="230">
        <v>0.29399999999999998</v>
      </c>
      <c r="I108" s="230">
        <v>0.55700000000000005</v>
      </c>
    </row>
    <row r="109" spans="1:9" x14ac:dyDescent="0.25">
      <c r="A109" s="81">
        <v>39</v>
      </c>
      <c r="B109" s="230">
        <v>1.242</v>
      </c>
      <c r="C109" s="230">
        <v>1.798</v>
      </c>
      <c r="D109" s="230">
        <v>2.6360000000000001</v>
      </c>
      <c r="E109" s="230">
        <v>3.1840000000000002</v>
      </c>
      <c r="F109" s="230">
        <v>3.2210000000000001</v>
      </c>
      <c r="G109" s="230">
        <v>0</v>
      </c>
      <c r="H109" s="230">
        <v>0.31900000000000001</v>
      </c>
      <c r="I109" s="230">
        <v>0.59799999999999998</v>
      </c>
    </row>
    <row r="110" spans="1:9" x14ac:dyDescent="0.25">
      <c r="A110" s="81">
        <v>40</v>
      </c>
      <c r="B110" s="230">
        <v>1.367</v>
      </c>
      <c r="C110" s="230">
        <v>1.954</v>
      </c>
      <c r="D110" s="230">
        <v>2.8530000000000002</v>
      </c>
      <c r="E110" s="230">
        <v>3.4460000000000002</v>
      </c>
      <c r="F110" s="230">
        <v>3.48</v>
      </c>
      <c r="G110" s="230">
        <v>0</v>
      </c>
      <c r="H110" s="230">
        <v>0.34599999999999997</v>
      </c>
      <c r="I110" s="230">
        <v>0.64</v>
      </c>
    </row>
    <row r="111" spans="1:9" x14ac:dyDescent="0.25">
      <c r="A111" s="81">
        <v>41</v>
      </c>
      <c r="B111" s="230">
        <v>1.494</v>
      </c>
      <c r="C111" s="230">
        <v>2.113</v>
      </c>
      <c r="D111" s="230">
        <v>3.0750000000000002</v>
      </c>
      <c r="E111" s="230">
        <v>3.7130000000000001</v>
      </c>
      <c r="F111" s="230">
        <v>3.742</v>
      </c>
      <c r="G111" s="230">
        <v>0</v>
      </c>
      <c r="H111" s="230">
        <v>0.373</v>
      </c>
      <c r="I111" s="230">
        <v>0.68200000000000005</v>
      </c>
    </row>
    <row r="112" spans="1:9" x14ac:dyDescent="0.25">
      <c r="A112" s="81">
        <v>42</v>
      </c>
      <c r="B112" s="230">
        <v>1.6240000000000001</v>
      </c>
      <c r="C112" s="230">
        <v>2.2759999999999998</v>
      </c>
      <c r="D112" s="230">
        <v>3.302</v>
      </c>
      <c r="E112" s="230">
        <v>3.9860000000000002</v>
      </c>
      <c r="F112" s="230">
        <v>4.0069999999999997</v>
      </c>
      <c r="G112" s="230">
        <v>0</v>
      </c>
      <c r="H112" s="230">
        <v>0.4</v>
      </c>
      <c r="I112" s="230">
        <v>0.72599999999999998</v>
      </c>
    </row>
    <row r="113" spans="1:9" x14ac:dyDescent="0.25">
      <c r="A113" s="81">
        <v>43</v>
      </c>
      <c r="B113" s="230">
        <v>1.756</v>
      </c>
      <c r="C113" s="230">
        <v>2.4409999999999998</v>
      </c>
      <c r="D113" s="230">
        <v>3.5329999999999999</v>
      </c>
      <c r="E113" s="230">
        <v>4.2640000000000002</v>
      </c>
      <c r="F113" s="230">
        <v>4.2750000000000004</v>
      </c>
      <c r="G113" s="230">
        <v>0</v>
      </c>
      <c r="H113" s="230">
        <v>0.42799999999999999</v>
      </c>
      <c r="I113" s="230">
        <v>0.77100000000000002</v>
      </c>
    </row>
    <row r="114" spans="1:9" x14ac:dyDescent="0.25">
      <c r="A114" s="81">
        <v>44</v>
      </c>
      <c r="B114" s="230">
        <v>1.891</v>
      </c>
      <c r="C114" s="230">
        <v>2.61</v>
      </c>
      <c r="D114" s="230">
        <v>3.7690000000000001</v>
      </c>
      <c r="E114" s="230">
        <v>4.5469999999999997</v>
      </c>
      <c r="F114" s="230">
        <v>4.5460000000000003</v>
      </c>
      <c r="G114" s="230">
        <v>0</v>
      </c>
      <c r="H114" s="230">
        <v>0.45700000000000002</v>
      </c>
      <c r="I114" s="230">
        <v>0.81599999999999995</v>
      </c>
    </row>
    <row r="115" spans="1:9" x14ac:dyDescent="0.25">
      <c r="A115" s="81">
        <v>45</v>
      </c>
      <c r="B115" s="230">
        <v>2.0289999999999999</v>
      </c>
      <c r="C115" s="230">
        <v>2.782</v>
      </c>
      <c r="D115" s="230">
        <v>4.0090000000000003</v>
      </c>
      <c r="E115" s="230">
        <v>4.835</v>
      </c>
      <c r="F115" s="230">
        <v>4.8209999999999997</v>
      </c>
      <c r="G115" s="230">
        <v>0</v>
      </c>
      <c r="H115" s="230">
        <v>0.48599999999999999</v>
      </c>
      <c r="I115" s="230">
        <v>0.86199999999999999</v>
      </c>
    </row>
    <row r="116" spans="1:9" x14ac:dyDescent="0.25">
      <c r="A116" s="81">
        <v>46</v>
      </c>
      <c r="B116" s="230">
        <v>2.2200000000000002</v>
      </c>
      <c r="C116" s="230">
        <v>2.988</v>
      </c>
      <c r="D116" s="230">
        <v>4.2539999999999996</v>
      </c>
      <c r="E116" s="230">
        <v>5.13</v>
      </c>
      <c r="F116" s="230">
        <v>5.109</v>
      </c>
      <c r="G116" s="230">
        <v>0</v>
      </c>
      <c r="H116" s="230">
        <v>0.51600000000000001</v>
      </c>
      <c r="I116" s="230">
        <v>0.9</v>
      </c>
    </row>
    <row r="117" spans="1:9" x14ac:dyDescent="0.25">
      <c r="A117" s="81">
        <v>47</v>
      </c>
      <c r="B117" s="230">
        <v>2.4140000000000001</v>
      </c>
      <c r="C117" s="230">
        <v>3.198</v>
      </c>
      <c r="D117" s="230">
        <v>4.5039999999999996</v>
      </c>
      <c r="E117" s="230">
        <v>5.43</v>
      </c>
      <c r="F117" s="230">
        <v>5.4</v>
      </c>
      <c r="G117" s="230">
        <v>0</v>
      </c>
      <c r="H117" s="230">
        <v>0.54600000000000004</v>
      </c>
      <c r="I117" s="230">
        <v>0.93799999999999994</v>
      </c>
    </row>
    <row r="118" spans="1:9" x14ac:dyDescent="0.25">
      <c r="A118" s="81">
        <v>48</v>
      </c>
      <c r="B118" s="230">
        <v>2.613</v>
      </c>
      <c r="C118" s="230">
        <v>3.4119999999999999</v>
      </c>
      <c r="D118" s="230">
        <v>4.7590000000000003</v>
      </c>
      <c r="E118" s="230">
        <v>5.7359999999999998</v>
      </c>
      <c r="F118" s="230">
        <v>5.6950000000000003</v>
      </c>
      <c r="G118" s="230">
        <v>0</v>
      </c>
      <c r="H118" s="230">
        <v>0.57699999999999996</v>
      </c>
      <c r="I118" s="230">
        <v>0.97599999999999998</v>
      </c>
    </row>
    <row r="119" spans="1:9" x14ac:dyDescent="0.25">
      <c r="A119" s="81">
        <v>49</v>
      </c>
      <c r="B119" s="230">
        <v>2.8149999999999999</v>
      </c>
      <c r="C119" s="230">
        <v>3.63</v>
      </c>
      <c r="D119" s="230">
        <v>5.0199999999999996</v>
      </c>
      <c r="E119" s="230">
        <v>6.0469999999999997</v>
      </c>
      <c r="F119" s="230">
        <v>5.9930000000000003</v>
      </c>
      <c r="G119" s="230">
        <v>0</v>
      </c>
      <c r="H119" s="230">
        <v>0.60799999999999998</v>
      </c>
      <c r="I119" s="230">
        <v>1.016</v>
      </c>
    </row>
    <row r="120" spans="1:9" x14ac:dyDescent="0.25">
      <c r="A120" s="81">
        <v>50</v>
      </c>
      <c r="B120" s="230">
        <v>3.0209999999999999</v>
      </c>
      <c r="C120" s="230">
        <v>3.8519999999999999</v>
      </c>
      <c r="D120" s="230">
        <v>5.2850000000000001</v>
      </c>
      <c r="E120" s="230">
        <v>6.3650000000000002</v>
      </c>
      <c r="F120" s="230">
        <v>6.2949999999999999</v>
      </c>
      <c r="G120" s="230">
        <v>0</v>
      </c>
      <c r="H120" s="230">
        <v>0.64100000000000001</v>
      </c>
      <c r="I120" s="230">
        <v>1.056</v>
      </c>
    </row>
    <row r="121" spans="1:9" x14ac:dyDescent="0.25">
      <c r="A121" s="81">
        <v>51</v>
      </c>
      <c r="B121" s="230">
        <v>3.2320000000000002</v>
      </c>
      <c r="C121" s="230">
        <v>4.0789999999999997</v>
      </c>
      <c r="D121" s="230">
        <v>5.556</v>
      </c>
      <c r="E121" s="230">
        <v>6.6890000000000001</v>
      </c>
      <c r="F121" s="230">
        <v>6.6</v>
      </c>
      <c r="G121" s="230">
        <v>0</v>
      </c>
      <c r="H121" s="230">
        <v>0.67300000000000004</v>
      </c>
      <c r="I121" s="230">
        <v>1.097</v>
      </c>
    </row>
    <row r="122" spans="1:9" x14ac:dyDescent="0.25">
      <c r="A122" s="81">
        <v>52</v>
      </c>
      <c r="B122" s="230">
        <v>3.4460000000000002</v>
      </c>
      <c r="C122" s="230">
        <v>4.3109999999999999</v>
      </c>
      <c r="D122" s="230">
        <v>5.8319999999999999</v>
      </c>
      <c r="E122" s="230">
        <v>7.02</v>
      </c>
      <c r="F122" s="230">
        <v>6.91</v>
      </c>
      <c r="G122" s="230">
        <v>0</v>
      </c>
      <c r="H122" s="230">
        <v>0.70699999999999996</v>
      </c>
      <c r="I122" s="230">
        <v>1.139</v>
      </c>
    </row>
    <row r="123" spans="1:9" x14ac:dyDescent="0.25">
      <c r="A123" s="81">
        <v>53</v>
      </c>
      <c r="B123" s="230">
        <v>3.665</v>
      </c>
      <c r="C123" s="230">
        <v>4.5469999999999997</v>
      </c>
      <c r="D123" s="230">
        <v>6.1130000000000004</v>
      </c>
      <c r="E123" s="230">
        <v>7.3570000000000002</v>
      </c>
      <c r="F123" s="230">
        <v>7.2229999999999999</v>
      </c>
      <c r="G123" s="230">
        <v>0</v>
      </c>
      <c r="H123" s="230">
        <v>0.74099999999999999</v>
      </c>
      <c r="I123" s="230">
        <v>1.1819999999999999</v>
      </c>
    </row>
    <row r="124" spans="1:9" x14ac:dyDescent="0.25">
      <c r="A124" s="81">
        <v>54</v>
      </c>
      <c r="B124" s="230">
        <v>3.8879999999999999</v>
      </c>
      <c r="C124" s="230">
        <v>4.7880000000000003</v>
      </c>
      <c r="D124" s="230">
        <v>6.4009999999999998</v>
      </c>
      <c r="E124" s="230">
        <v>7.7</v>
      </c>
      <c r="F124" s="230">
        <v>7.5389999999999997</v>
      </c>
      <c r="G124" s="230">
        <v>0</v>
      </c>
      <c r="H124" s="230">
        <v>0.77600000000000002</v>
      </c>
      <c r="I124" s="230">
        <v>1.226</v>
      </c>
    </row>
    <row r="125" spans="1:9" x14ac:dyDescent="0.25">
      <c r="A125" s="81">
        <v>55</v>
      </c>
      <c r="B125" s="230">
        <v>4.1159999999999997</v>
      </c>
      <c r="C125" s="230">
        <v>5.0339999999999998</v>
      </c>
      <c r="D125" s="230">
        <v>6.694</v>
      </c>
      <c r="E125" s="230">
        <v>8.0500000000000007</v>
      </c>
      <c r="F125" s="230">
        <v>7.88</v>
      </c>
      <c r="G125" s="230">
        <v>0</v>
      </c>
      <c r="H125" s="230">
        <v>0.81100000000000005</v>
      </c>
      <c r="I125" s="230">
        <v>1.27</v>
      </c>
    </row>
    <row r="126" spans="1:9" x14ac:dyDescent="0.25">
      <c r="A126" s="81">
        <v>56</v>
      </c>
      <c r="B126" s="230">
        <v>4.3780000000000001</v>
      </c>
      <c r="C126" s="230">
        <v>5.3150000000000004</v>
      </c>
      <c r="D126" s="230">
        <v>7.008</v>
      </c>
      <c r="E126" s="230">
        <v>8.407</v>
      </c>
      <c r="F126" s="230">
        <v>8.2240000000000002</v>
      </c>
      <c r="G126" s="230">
        <v>0</v>
      </c>
      <c r="H126" s="230">
        <v>0.82799999999999996</v>
      </c>
      <c r="I126" s="230">
        <v>1.296</v>
      </c>
    </row>
    <row r="127" spans="1:9" x14ac:dyDescent="0.25">
      <c r="A127" s="81">
        <v>57</v>
      </c>
      <c r="B127" s="230">
        <v>4.6459999999999999</v>
      </c>
      <c r="C127" s="230">
        <v>5.601</v>
      </c>
      <c r="D127" s="230">
        <v>7.3280000000000003</v>
      </c>
      <c r="E127" s="230">
        <v>8.7710000000000008</v>
      </c>
      <c r="F127" s="230">
        <v>8.5730000000000004</v>
      </c>
      <c r="G127" s="230">
        <v>0</v>
      </c>
      <c r="H127" s="230">
        <v>0.84399999999999997</v>
      </c>
      <c r="I127" s="230">
        <v>1.3220000000000001</v>
      </c>
    </row>
    <row r="128" spans="1:9" x14ac:dyDescent="0.25">
      <c r="A128" s="81">
        <v>58</v>
      </c>
      <c r="B128" s="230">
        <v>4.9189999999999996</v>
      </c>
      <c r="C128" s="230">
        <v>5.8929999999999998</v>
      </c>
      <c r="D128" s="230">
        <v>7.6539999999999999</v>
      </c>
      <c r="E128" s="230">
        <v>9.1419999999999995</v>
      </c>
      <c r="F128" s="230">
        <v>8.9260000000000002</v>
      </c>
      <c r="G128" s="230">
        <v>0</v>
      </c>
      <c r="H128" s="230">
        <v>0.86099999999999999</v>
      </c>
      <c r="I128" s="230">
        <v>1.3480000000000001</v>
      </c>
    </row>
    <row r="129" spans="1:9" x14ac:dyDescent="0.25">
      <c r="A129" s="81">
        <v>59</v>
      </c>
      <c r="B129" s="230">
        <v>5.1970000000000001</v>
      </c>
      <c r="C129" s="230">
        <v>6.1909999999999998</v>
      </c>
      <c r="D129" s="230">
        <v>7.9870000000000001</v>
      </c>
      <c r="E129" s="230">
        <v>9.5210000000000008</v>
      </c>
      <c r="F129" s="230">
        <v>9.2829999999999995</v>
      </c>
      <c r="G129" s="230">
        <v>0</v>
      </c>
      <c r="H129" s="230">
        <v>0.878</v>
      </c>
      <c r="I129" s="230">
        <v>1.375</v>
      </c>
    </row>
    <row r="130" spans="1:9" x14ac:dyDescent="0.25">
      <c r="A130" s="81">
        <v>60</v>
      </c>
      <c r="B130" s="230">
        <v>5.4809999999999999</v>
      </c>
      <c r="C130" s="230">
        <v>6.4950000000000001</v>
      </c>
      <c r="D130" s="230">
        <v>8.327</v>
      </c>
      <c r="E130" s="230">
        <v>9.9060000000000006</v>
      </c>
      <c r="F130" s="230">
        <v>9.6440000000000001</v>
      </c>
      <c r="G130" s="230">
        <v>0</v>
      </c>
      <c r="H130" s="230">
        <v>0.89600000000000002</v>
      </c>
      <c r="I130" s="230">
        <v>1.4019999999999999</v>
      </c>
    </row>
    <row r="131" spans="1:9" x14ac:dyDescent="0.25">
      <c r="A131" s="81">
        <v>61</v>
      </c>
      <c r="B131" s="230">
        <v>5.7709999999999999</v>
      </c>
      <c r="C131" s="230">
        <v>6.8049999999999997</v>
      </c>
      <c r="D131" s="230">
        <v>8.6739999999999995</v>
      </c>
      <c r="E131" s="230">
        <v>10.106</v>
      </c>
      <c r="F131" s="230">
        <v>9.8940000000000001</v>
      </c>
      <c r="G131" s="230">
        <v>0</v>
      </c>
      <c r="H131" s="230">
        <v>0.91400000000000003</v>
      </c>
      <c r="I131" s="230">
        <v>1.431</v>
      </c>
    </row>
    <row r="132" spans="1:9" x14ac:dyDescent="0.25">
      <c r="A132" s="81">
        <v>62</v>
      </c>
      <c r="B132" s="230">
        <v>6.0659999999999998</v>
      </c>
      <c r="C132" s="230">
        <v>7.1210000000000004</v>
      </c>
      <c r="D132" s="230">
        <v>9.0269999999999992</v>
      </c>
      <c r="E132" s="230">
        <v>10.305999999999999</v>
      </c>
      <c r="F132" s="230">
        <v>10.144</v>
      </c>
      <c r="G132" s="230">
        <v>0</v>
      </c>
      <c r="H132" s="230">
        <v>0.93200000000000005</v>
      </c>
      <c r="I132" s="230">
        <v>1.4590000000000001</v>
      </c>
    </row>
    <row r="133" spans="1:9" x14ac:dyDescent="0.25">
      <c r="A133" s="81">
        <v>63</v>
      </c>
      <c r="B133" s="230">
        <v>6.3680000000000003</v>
      </c>
      <c r="C133" s="230">
        <v>7.4429999999999996</v>
      </c>
      <c r="D133" s="230">
        <v>9.3879999999999999</v>
      </c>
      <c r="E133" s="230">
        <v>10.506</v>
      </c>
      <c r="F133" s="230">
        <v>10.394</v>
      </c>
      <c r="G133" s="230">
        <v>0</v>
      </c>
      <c r="H133" s="230">
        <v>0.95099999999999996</v>
      </c>
      <c r="I133" s="230">
        <v>1.488</v>
      </c>
    </row>
    <row r="134" spans="1:9" x14ac:dyDescent="0.25">
      <c r="A134" s="81">
        <v>64</v>
      </c>
      <c r="B134" s="230">
        <v>6.6749999999999998</v>
      </c>
      <c r="C134" s="230">
        <v>7.7720000000000002</v>
      </c>
      <c r="D134" s="230">
        <v>9.7550000000000008</v>
      </c>
      <c r="E134" s="230">
        <v>10.706</v>
      </c>
      <c r="F134" s="230">
        <v>10.644</v>
      </c>
      <c r="G134" s="230">
        <v>0</v>
      </c>
      <c r="H134" s="230">
        <v>0.97</v>
      </c>
      <c r="I134" s="230">
        <v>1.518</v>
      </c>
    </row>
    <row r="135" spans="1:9" x14ac:dyDescent="0.25">
      <c r="A135" s="82">
        <v>65</v>
      </c>
      <c r="B135" s="230">
        <v>6.9889999999999999</v>
      </c>
      <c r="C135" s="230">
        <v>8.1069999999999993</v>
      </c>
      <c r="D135" s="230">
        <v>10.131</v>
      </c>
      <c r="E135" s="230">
        <v>10.906000000000001</v>
      </c>
      <c r="F135" s="230">
        <v>10.894</v>
      </c>
      <c r="G135" s="230">
        <v>0</v>
      </c>
      <c r="H135" s="230">
        <v>0.98899999999999999</v>
      </c>
      <c r="I135" s="230">
        <v>1.548</v>
      </c>
    </row>
    <row r="138" spans="1:9" x14ac:dyDescent="0.25">
      <c r="B138" s="23"/>
      <c r="C138" s="79" t="s">
        <v>310</v>
      </c>
      <c r="D138" s="23"/>
      <c r="E138" s="206"/>
      <c r="F138" s="79" t="s">
        <v>130</v>
      </c>
      <c r="G138" s="23"/>
    </row>
    <row r="139" spans="1:9" s="127" customFormat="1" x14ac:dyDescent="0.25">
      <c r="B139" s="130" t="s">
        <v>306</v>
      </c>
      <c r="C139" s="130" t="s">
        <v>307</v>
      </c>
      <c r="D139" s="80" t="s">
        <v>308</v>
      </c>
      <c r="E139" s="207" t="s">
        <v>306</v>
      </c>
      <c r="F139" s="80" t="s">
        <v>307</v>
      </c>
      <c r="G139" s="80" t="s">
        <v>308</v>
      </c>
    </row>
    <row r="140" spans="1:9" s="127" customFormat="1" x14ac:dyDescent="0.25">
      <c r="A140" s="80">
        <v>2011</v>
      </c>
      <c r="B140" s="127">
        <v>2</v>
      </c>
      <c r="C140" s="127">
        <v>3</v>
      </c>
      <c r="D140" s="127">
        <v>4</v>
      </c>
      <c r="E140" s="208" t="e">
        <f>Input!$J$67*20%</f>
        <v>#REF!</v>
      </c>
      <c r="F140" s="209" t="e">
        <f>Input!$J$67*20%</f>
        <v>#REF!</v>
      </c>
      <c r="G140" s="210" t="e">
        <f>Input!J67*20%</f>
        <v>#REF!</v>
      </c>
    </row>
    <row r="141" spans="1:9" s="127" customFormat="1" x14ac:dyDescent="0.25">
      <c r="A141" s="80">
        <v>2012</v>
      </c>
      <c r="B141" s="127">
        <v>5</v>
      </c>
      <c r="C141" s="127">
        <v>6</v>
      </c>
      <c r="D141" s="127">
        <v>7</v>
      </c>
      <c r="E141" s="208" t="e">
        <f>Input!$J$67*20%</f>
        <v>#REF!</v>
      </c>
      <c r="F141" s="209" t="e">
        <f>Input!$J$67*20%</f>
        <v>#REF!</v>
      </c>
      <c r="G141" s="209" t="e">
        <f>#REF!*#REF!%*20%</f>
        <v>#REF!</v>
      </c>
    </row>
    <row r="142" spans="1:9" s="127" customFormat="1" x14ac:dyDescent="0.25">
      <c r="A142" s="80">
        <v>2013</v>
      </c>
      <c r="B142" s="127">
        <v>8</v>
      </c>
      <c r="C142" s="127">
        <v>9</v>
      </c>
      <c r="D142" s="127">
        <v>10</v>
      </c>
      <c r="E142" s="208" t="e">
        <f>Input!$J$67*20%</f>
        <v>#REF!</v>
      </c>
      <c r="F142" s="209" t="e">
        <f>Input!$J$67*20%</f>
        <v>#REF!</v>
      </c>
      <c r="G142" s="209" t="e">
        <f>#REF!*#REF!%*20%</f>
        <v>#REF!</v>
      </c>
    </row>
    <row r="143" spans="1:9" s="127" customFormat="1" x14ac:dyDescent="0.25">
      <c r="A143" s="80">
        <v>2014</v>
      </c>
      <c r="B143" s="127">
        <v>11</v>
      </c>
      <c r="C143" s="127">
        <v>12</v>
      </c>
      <c r="D143" s="127">
        <v>13</v>
      </c>
      <c r="E143" s="208" t="e">
        <f>Input!$J$67*20%</f>
        <v>#REF!</v>
      </c>
      <c r="F143" s="210" t="e">
        <f>Input!$J$67*20%</f>
        <v>#REF!</v>
      </c>
      <c r="G143" s="210" t="e">
        <f>#REF!*#REF!%*20%</f>
        <v>#REF!</v>
      </c>
    </row>
    <row r="144" spans="1:9" s="127" customFormat="1" x14ac:dyDescent="0.25">
      <c r="A144" s="80">
        <v>2015</v>
      </c>
      <c r="B144" s="127">
        <v>14</v>
      </c>
      <c r="C144" s="127">
        <v>15</v>
      </c>
      <c r="D144" s="127">
        <v>16</v>
      </c>
      <c r="E144" s="208" t="e">
        <f>Input!$J$67*20%</f>
        <v>#REF!</v>
      </c>
      <c r="F144" s="209" t="e">
        <f>#REF!*6.8%*20%</f>
        <v>#REF!</v>
      </c>
      <c r="G144" s="209" t="e">
        <f>#REF!*6.8%*20%</f>
        <v>#REF!</v>
      </c>
    </row>
    <row r="145" spans="1:7" s="127" customFormat="1" x14ac:dyDescent="0.25">
      <c r="A145" s="80">
        <v>2016</v>
      </c>
      <c r="B145" s="127">
        <v>17</v>
      </c>
      <c r="C145" s="127">
        <v>18</v>
      </c>
      <c r="D145" s="127">
        <v>19</v>
      </c>
      <c r="E145" s="208" t="e">
        <f>Input!$J$67*20%</f>
        <v>#REF!</v>
      </c>
      <c r="F145" s="209" t="e">
        <f>#REF!*6.8%*20%</f>
        <v>#REF!</v>
      </c>
      <c r="G145" s="209" t="e">
        <f>#REF!*6.8%*20%</f>
        <v>#REF!</v>
      </c>
    </row>
    <row r="146" spans="1:7" s="127" customFormat="1" x14ac:dyDescent="0.25">
      <c r="A146" s="80">
        <v>2017</v>
      </c>
      <c r="B146" s="127">
        <v>20</v>
      </c>
      <c r="C146" s="127">
        <v>21</v>
      </c>
      <c r="D146" s="127">
        <v>22</v>
      </c>
      <c r="E146" s="208" t="e">
        <f>Input!$J$67*20%</f>
        <v>#REF!</v>
      </c>
      <c r="F146" s="209" t="e">
        <f>#REF!*6.8%*20%</f>
        <v>#REF!</v>
      </c>
      <c r="G146" s="209" t="e">
        <f>#REF!*6.8%*20%</f>
        <v>#REF!</v>
      </c>
    </row>
    <row r="147" spans="1:7" s="127" customFormat="1" x14ac:dyDescent="0.25">
      <c r="A147" s="80">
        <v>2018</v>
      </c>
      <c r="B147" s="127">
        <v>23</v>
      </c>
      <c r="C147" s="127">
        <v>24</v>
      </c>
      <c r="D147" s="127">
        <v>25</v>
      </c>
      <c r="E147" s="208" t="e">
        <f>Input!$J$67*20%</f>
        <v>#REF!</v>
      </c>
      <c r="F147" s="209" t="e">
        <f>#REF!*6.8%*20%</f>
        <v>#REF!</v>
      </c>
      <c r="G147" s="209" t="e">
        <f>#REF!*6.8%*20%</f>
        <v>#REF!</v>
      </c>
    </row>
    <row r="148" spans="1:7" s="127" customFormat="1" x14ac:dyDescent="0.25">
      <c r="A148" s="80">
        <v>2019</v>
      </c>
      <c r="B148" s="127">
        <v>23</v>
      </c>
      <c r="C148" s="127">
        <v>24</v>
      </c>
      <c r="D148" s="127">
        <v>25</v>
      </c>
      <c r="E148" s="208" t="e">
        <f>Input!$J$67*20%</f>
        <v>#REF!</v>
      </c>
      <c r="F148" s="209" t="e">
        <f>#REF!*6.8%*20%</f>
        <v>#REF!</v>
      </c>
      <c r="G148" s="209" t="e">
        <f>#REF!*6.8%*20%</f>
        <v>#REF!</v>
      </c>
    </row>
    <row r="149" spans="1:7" s="127" customFormat="1" x14ac:dyDescent="0.25">
      <c r="A149" s="80">
        <v>2020</v>
      </c>
      <c r="B149" s="127">
        <v>23</v>
      </c>
      <c r="C149" s="127">
        <v>24</v>
      </c>
      <c r="D149" s="127">
        <v>25</v>
      </c>
      <c r="E149" s="208" t="e">
        <f>Input!$J$67*20%</f>
        <v>#REF!</v>
      </c>
      <c r="F149" s="209" t="e">
        <f>#REF!*6.8%*20%</f>
        <v>#REF!</v>
      </c>
      <c r="G149" s="209" t="e">
        <f>#REF!*6.8%*20%</f>
        <v>#REF!</v>
      </c>
    </row>
    <row r="150" spans="1:7" s="127" customFormat="1" x14ac:dyDescent="0.25">
      <c r="A150" s="80">
        <v>2021</v>
      </c>
      <c r="B150" s="127">
        <v>23</v>
      </c>
      <c r="C150" s="127">
        <v>24</v>
      </c>
      <c r="D150" s="127">
        <v>25</v>
      </c>
      <c r="E150" s="208" t="e">
        <f>Input!$J$67*20%</f>
        <v>#REF!</v>
      </c>
      <c r="F150" s="209" t="e">
        <f>#REF!*6.8%*20%</f>
        <v>#REF!</v>
      </c>
      <c r="G150" s="209" t="e">
        <f>#REF!*6.8%*20%</f>
        <v>#REF!</v>
      </c>
    </row>
    <row r="151" spans="1:7" s="127" customFormat="1" x14ac:dyDescent="0.25">
      <c r="A151" s="80">
        <v>2022</v>
      </c>
      <c r="B151" s="127">
        <v>23</v>
      </c>
      <c r="C151" s="127">
        <v>24</v>
      </c>
      <c r="D151" s="127">
        <v>25</v>
      </c>
      <c r="E151" s="208" t="e">
        <f>Input!$J$67*20%</f>
        <v>#REF!</v>
      </c>
      <c r="F151" s="209" t="e">
        <f>#REF!*6.8%*20%</f>
        <v>#REF!</v>
      </c>
      <c r="G151" s="209" t="e">
        <f>#REF!*6.8%*20%</f>
        <v>#REF!</v>
      </c>
    </row>
    <row r="152" spans="1:7" s="127" customFormat="1" x14ac:dyDescent="0.25">
      <c r="A152" s="80">
        <v>2023</v>
      </c>
      <c r="B152" s="127">
        <v>23</v>
      </c>
      <c r="C152" s="127">
        <v>24</v>
      </c>
      <c r="D152" s="127">
        <v>25</v>
      </c>
      <c r="E152" s="208" t="e">
        <f>Input!$J$67*20%</f>
        <v>#REF!</v>
      </c>
      <c r="F152" s="209" t="e">
        <f>#REF!*6.8%*20%</f>
        <v>#REF!</v>
      </c>
      <c r="G152" s="209" t="e">
        <f>#REF!*6.8%*20%</f>
        <v>#REF!</v>
      </c>
    </row>
    <row r="153" spans="1:7" s="127" customFormat="1" x14ac:dyDescent="0.25">
      <c r="A153" s="80">
        <v>2024</v>
      </c>
      <c r="B153" s="127">
        <v>23</v>
      </c>
      <c r="C153" s="127">
        <v>24</v>
      </c>
      <c r="D153" s="127">
        <v>25</v>
      </c>
      <c r="E153" s="208" t="e">
        <f>Input!$J$67*20%</f>
        <v>#REF!</v>
      </c>
      <c r="F153" s="209" t="e">
        <f>#REF!*6.8%*20%</f>
        <v>#REF!</v>
      </c>
      <c r="G153" s="209" t="e">
        <f>#REF!*6.8%*20%</f>
        <v>#REF!</v>
      </c>
    </row>
    <row r="154" spans="1:7" s="127" customFormat="1" x14ac:dyDescent="0.25">
      <c r="A154" s="80">
        <v>2025</v>
      </c>
      <c r="B154" s="127">
        <v>23</v>
      </c>
      <c r="C154" s="127">
        <v>24</v>
      </c>
      <c r="D154" s="127">
        <v>25</v>
      </c>
      <c r="E154" s="208" t="e">
        <f>Input!$J$67*20%</f>
        <v>#REF!</v>
      </c>
      <c r="F154" s="209" t="e">
        <f>#REF!*6.8%*20%</f>
        <v>#REF!</v>
      </c>
      <c r="G154" s="209" t="e">
        <f>#REF!*6.8%*20%</f>
        <v>#REF!</v>
      </c>
    </row>
    <row r="155" spans="1:7" s="127" customFormat="1" x14ac:dyDescent="0.25">
      <c r="A155" s="80">
        <v>2026</v>
      </c>
      <c r="B155" s="127">
        <v>23</v>
      </c>
      <c r="C155" s="127">
        <v>24</v>
      </c>
      <c r="D155" s="127">
        <v>25</v>
      </c>
      <c r="E155" s="208" t="e">
        <f>Input!$J$67*20%</f>
        <v>#REF!</v>
      </c>
      <c r="F155" s="209" t="e">
        <f>#REF!*6.8%*20%</f>
        <v>#REF!</v>
      </c>
      <c r="G155" s="209" t="e">
        <f>#REF!*6.8%*20%</f>
        <v>#REF!</v>
      </c>
    </row>
    <row r="156" spans="1:7" s="127" customFormat="1" x14ac:dyDescent="0.25">
      <c r="A156" s="80">
        <v>2027</v>
      </c>
      <c r="B156" s="127">
        <v>23</v>
      </c>
      <c r="C156" s="127">
        <v>24</v>
      </c>
      <c r="D156" s="127">
        <v>25</v>
      </c>
      <c r="E156" s="208" t="e">
        <f>Input!$J$67*20%</f>
        <v>#REF!</v>
      </c>
      <c r="F156" s="209" t="e">
        <f>#REF!*6.8%*20%</f>
        <v>#REF!</v>
      </c>
      <c r="G156" s="209" t="e">
        <f>#REF!*6.8%*20%</f>
        <v>#REF!</v>
      </c>
    </row>
    <row r="157" spans="1:7" s="127" customFormat="1" x14ac:dyDescent="0.25">
      <c r="A157" s="80">
        <v>2028</v>
      </c>
      <c r="B157" s="127">
        <v>23</v>
      </c>
      <c r="C157" s="127">
        <v>24</v>
      </c>
      <c r="D157" s="127">
        <v>25</v>
      </c>
      <c r="E157" s="208" t="e">
        <f>Input!$J$67*20%</f>
        <v>#REF!</v>
      </c>
      <c r="F157" s="209" t="e">
        <f>#REF!*6.8%*20%</f>
        <v>#REF!</v>
      </c>
      <c r="G157" s="209" t="e">
        <f>#REF!*6.8%*20%</f>
        <v>#REF!</v>
      </c>
    </row>
    <row r="158" spans="1:7" s="127" customFormat="1" x14ac:dyDescent="0.25">
      <c r="A158" s="80">
        <v>2029</v>
      </c>
      <c r="B158" s="127">
        <v>23</v>
      </c>
      <c r="C158" s="127">
        <v>24</v>
      </c>
      <c r="D158" s="127">
        <v>25</v>
      </c>
      <c r="E158" s="208" t="e">
        <f>Input!$J$67*20%</f>
        <v>#REF!</v>
      </c>
      <c r="F158" s="209" t="e">
        <f>#REF!*6.8%*20%</f>
        <v>#REF!</v>
      </c>
      <c r="G158" s="209" t="e">
        <f>#REF!*6.8%*20%</f>
        <v>#REF!</v>
      </c>
    </row>
    <row r="159" spans="1:7" s="127" customFormat="1" x14ac:dyDescent="0.25">
      <c r="A159" s="80">
        <v>2030</v>
      </c>
      <c r="B159" s="127">
        <v>23</v>
      </c>
      <c r="C159" s="127">
        <v>24</v>
      </c>
      <c r="D159" s="127">
        <v>25</v>
      </c>
      <c r="E159" s="208" t="e">
        <f>Input!$J$67*20%</f>
        <v>#REF!</v>
      </c>
      <c r="F159" s="209" t="e">
        <f>#REF!*6.8%*20%</f>
        <v>#REF!</v>
      </c>
      <c r="G159" s="209" t="e">
        <f>#REF!*6.8%*20%</f>
        <v>#REF!</v>
      </c>
    </row>
    <row r="160" spans="1:7" s="127" customFormat="1" x14ac:dyDescent="0.25">
      <c r="A160" s="80">
        <v>2031</v>
      </c>
      <c r="B160" s="127">
        <v>23</v>
      </c>
      <c r="C160" s="127">
        <v>24</v>
      </c>
      <c r="D160" s="127">
        <v>25</v>
      </c>
      <c r="E160" s="208" t="e">
        <f>Input!$J$67*20%</f>
        <v>#REF!</v>
      </c>
      <c r="F160" s="209" t="e">
        <f>#REF!*6.8%*20%</f>
        <v>#REF!</v>
      </c>
      <c r="G160" s="209" t="e">
        <f>#REF!*6.8%*20%</f>
        <v>#REF!</v>
      </c>
    </row>
    <row r="161" spans="1:7" s="127" customFormat="1" x14ac:dyDescent="0.25">
      <c r="A161" s="80">
        <v>2032</v>
      </c>
      <c r="B161" s="127">
        <v>23</v>
      </c>
      <c r="C161" s="127">
        <v>24</v>
      </c>
      <c r="D161" s="127">
        <v>25</v>
      </c>
      <c r="E161" s="208" t="e">
        <f>Input!$J$67*20%</f>
        <v>#REF!</v>
      </c>
      <c r="F161" s="209" t="e">
        <f>#REF!*6.8%*20%</f>
        <v>#REF!</v>
      </c>
      <c r="G161" s="209" t="e">
        <f>#REF!*6.8%*20%</f>
        <v>#REF!</v>
      </c>
    </row>
    <row r="162" spans="1:7" s="127" customFormat="1" x14ac:dyDescent="0.25">
      <c r="A162" s="80">
        <v>2033</v>
      </c>
      <c r="B162" s="127">
        <v>23</v>
      </c>
      <c r="C162" s="127">
        <v>24</v>
      </c>
      <c r="D162" s="127">
        <v>25</v>
      </c>
      <c r="E162" s="208" t="e">
        <f>Input!$J$67*20%</f>
        <v>#REF!</v>
      </c>
      <c r="F162" s="209" t="e">
        <f>#REF!*6.8%*20%</f>
        <v>#REF!</v>
      </c>
      <c r="G162" s="209" t="e">
        <f>#REF!*6.8%*20%</f>
        <v>#REF!</v>
      </c>
    </row>
    <row r="163" spans="1:7" s="127" customFormat="1" x14ac:dyDescent="0.25">
      <c r="A163" s="80">
        <v>2034</v>
      </c>
      <c r="B163" s="127">
        <v>23</v>
      </c>
      <c r="C163" s="127">
        <v>24</v>
      </c>
      <c r="D163" s="127">
        <v>25</v>
      </c>
      <c r="E163" s="208" t="e">
        <f>Input!$J$67*20%</f>
        <v>#REF!</v>
      </c>
      <c r="F163" s="209" t="e">
        <f>#REF!*6.8%*20%</f>
        <v>#REF!</v>
      </c>
      <c r="G163" s="209" t="e">
        <f>#REF!*6.8%*20%</f>
        <v>#REF!</v>
      </c>
    </row>
    <row r="164" spans="1:7" s="127" customFormat="1" x14ac:dyDescent="0.25">
      <c r="A164" s="80">
        <v>2035</v>
      </c>
      <c r="B164" s="127">
        <v>23</v>
      </c>
      <c r="C164" s="127">
        <v>24</v>
      </c>
      <c r="D164" s="127">
        <v>25</v>
      </c>
      <c r="E164" s="208" t="e">
        <f>Input!$J$67*20%</f>
        <v>#REF!</v>
      </c>
      <c r="F164" s="209" t="e">
        <f>#REF!*6.8%*20%</f>
        <v>#REF!</v>
      </c>
      <c r="G164" s="209" t="e">
        <f>#REF!*6.8%*20%</f>
        <v>#REF!</v>
      </c>
    </row>
    <row r="165" spans="1:7" s="127" customFormat="1" x14ac:dyDescent="0.25">
      <c r="A165" s="80">
        <v>2036</v>
      </c>
      <c r="B165" s="127">
        <v>23</v>
      </c>
      <c r="C165" s="127">
        <v>24</v>
      </c>
      <c r="D165" s="127">
        <v>25</v>
      </c>
      <c r="E165" s="208" t="e">
        <f>Input!$J$67*20%</f>
        <v>#REF!</v>
      </c>
      <c r="F165" s="209" t="e">
        <f>#REF!*6.8%*20%</f>
        <v>#REF!</v>
      </c>
      <c r="G165" s="209" t="e">
        <f>#REF!*6.8%*20%</f>
        <v>#REF!</v>
      </c>
    </row>
    <row r="166" spans="1:7" s="127" customFormat="1" x14ac:dyDescent="0.25">
      <c r="A166" s="80">
        <v>2037</v>
      </c>
      <c r="B166" s="127">
        <v>23</v>
      </c>
      <c r="C166" s="127">
        <v>24</v>
      </c>
      <c r="D166" s="127">
        <v>25</v>
      </c>
      <c r="E166" s="208" t="e">
        <f>Input!$J$67*20%</f>
        <v>#REF!</v>
      </c>
      <c r="F166" s="209" t="e">
        <f>#REF!*6.8%*20%</f>
        <v>#REF!</v>
      </c>
      <c r="G166" s="209" t="e">
        <f>#REF!*6.8%*20%</f>
        <v>#REF!</v>
      </c>
    </row>
    <row r="167" spans="1:7" s="127" customFormat="1" x14ac:dyDescent="0.25">
      <c r="A167" s="80">
        <v>2038</v>
      </c>
      <c r="B167" s="127">
        <v>23</v>
      </c>
      <c r="C167" s="127">
        <v>24</v>
      </c>
      <c r="D167" s="127">
        <v>25</v>
      </c>
      <c r="E167" s="208" t="e">
        <f>Input!$J$67*20%</f>
        <v>#REF!</v>
      </c>
      <c r="F167" s="209" t="e">
        <f>#REF!*6.8%*20%</f>
        <v>#REF!</v>
      </c>
      <c r="G167" s="209" t="e">
        <f>#REF!*6.8%*20%</f>
        <v>#REF!</v>
      </c>
    </row>
    <row r="168" spans="1:7" s="127" customFormat="1" x14ac:dyDescent="0.25">
      <c r="A168" s="80">
        <v>2039</v>
      </c>
      <c r="B168" s="127">
        <v>23</v>
      </c>
      <c r="C168" s="127">
        <v>24</v>
      </c>
      <c r="D168" s="127">
        <v>25</v>
      </c>
      <c r="E168" s="208" t="e">
        <f>Input!$J$67*20%</f>
        <v>#REF!</v>
      </c>
      <c r="F168" s="209" t="e">
        <f>#REF!*6.8%*20%</f>
        <v>#REF!</v>
      </c>
      <c r="G168" s="209" t="e">
        <f>#REF!*6.8%*20%</f>
        <v>#REF!</v>
      </c>
    </row>
    <row r="169" spans="1:7" s="127" customFormat="1" x14ac:dyDescent="0.25">
      <c r="A169" s="80">
        <v>2040</v>
      </c>
      <c r="B169" s="127">
        <v>23</v>
      </c>
      <c r="C169" s="127">
        <v>24</v>
      </c>
      <c r="D169" s="127">
        <v>25</v>
      </c>
      <c r="E169" s="208" t="e">
        <f>Input!$J$67*20%</f>
        <v>#REF!</v>
      </c>
      <c r="F169" s="209" t="e">
        <f>#REF!*6.8%*20%</f>
        <v>#REF!</v>
      </c>
      <c r="G169" s="209" t="e">
        <f>#REF!*6.8%*20%</f>
        <v>#REF!</v>
      </c>
    </row>
    <row r="170" spans="1:7" s="127" customFormat="1" x14ac:dyDescent="0.25">
      <c r="A170" s="80">
        <v>2041</v>
      </c>
      <c r="B170" s="127">
        <v>23</v>
      </c>
      <c r="C170" s="127">
        <v>24</v>
      </c>
      <c r="D170" s="127">
        <v>25</v>
      </c>
      <c r="E170" s="208" t="e">
        <f>Input!$J$67*20%</f>
        <v>#REF!</v>
      </c>
      <c r="F170" s="209" t="e">
        <f>#REF!*6.8%*20%</f>
        <v>#REF!</v>
      </c>
      <c r="G170" s="209" t="e">
        <f>#REF!*6.8%*20%</f>
        <v>#REF!</v>
      </c>
    </row>
    <row r="171" spans="1:7" s="127" customFormat="1" x14ac:dyDescent="0.25">
      <c r="A171" s="80">
        <v>2042</v>
      </c>
      <c r="B171" s="127">
        <v>23</v>
      </c>
      <c r="C171" s="127">
        <v>24</v>
      </c>
      <c r="D171" s="127">
        <v>25</v>
      </c>
      <c r="E171" s="208" t="e">
        <f>Input!$J$67*20%</f>
        <v>#REF!</v>
      </c>
      <c r="F171" s="209" t="e">
        <f>#REF!*6.8%*20%</f>
        <v>#REF!</v>
      </c>
      <c r="G171" s="209" t="e">
        <f>#REF!*6.8%*20%</f>
        <v>#REF!</v>
      </c>
    </row>
    <row r="172" spans="1:7" s="127" customFormat="1" x14ac:dyDescent="0.25">
      <c r="A172" s="80">
        <v>2043</v>
      </c>
      <c r="B172" s="127">
        <v>23</v>
      </c>
      <c r="C172" s="127">
        <v>24</v>
      </c>
      <c r="D172" s="127">
        <v>25</v>
      </c>
      <c r="E172" s="208" t="e">
        <f>Input!$J$67*20%</f>
        <v>#REF!</v>
      </c>
      <c r="F172" s="209" t="e">
        <f>#REF!*6.8%*20%</f>
        <v>#REF!</v>
      </c>
      <c r="G172" s="209" t="e">
        <f>#REF!*6.8%*20%</f>
        <v>#REF!</v>
      </c>
    </row>
    <row r="173" spans="1:7" s="127" customFormat="1" x14ac:dyDescent="0.25">
      <c r="A173" s="80">
        <v>2044</v>
      </c>
      <c r="B173" s="127">
        <v>23</v>
      </c>
      <c r="C173" s="127">
        <v>24</v>
      </c>
      <c r="D173" s="127">
        <v>25</v>
      </c>
      <c r="E173" s="208" t="e">
        <f>Input!$J$67*20%</f>
        <v>#REF!</v>
      </c>
      <c r="F173" s="209" t="e">
        <f>#REF!*6.8%*20%</f>
        <v>#REF!</v>
      </c>
      <c r="G173" s="209" t="e">
        <f>#REF!*6.8%*20%</f>
        <v>#REF!</v>
      </c>
    </row>
    <row r="174" spans="1:7" s="127" customFormat="1" x14ac:dyDescent="0.25">
      <c r="A174" s="80">
        <v>2045</v>
      </c>
      <c r="B174" s="127">
        <v>23</v>
      </c>
      <c r="C174" s="127">
        <v>24</v>
      </c>
      <c r="D174" s="127">
        <v>25</v>
      </c>
      <c r="E174" s="208" t="e">
        <f>Input!$J$67*20%</f>
        <v>#REF!</v>
      </c>
      <c r="F174" s="209" t="e">
        <f>#REF!*6.8%*20%</f>
        <v>#REF!</v>
      </c>
      <c r="G174" s="209" t="e">
        <f>#REF!*6.8%*20%</f>
        <v>#REF!</v>
      </c>
    </row>
    <row r="175" spans="1:7" s="127" customFormat="1" x14ac:dyDescent="0.25">
      <c r="A175" s="80">
        <v>2046</v>
      </c>
      <c r="B175" s="127">
        <v>23</v>
      </c>
      <c r="C175" s="127">
        <v>24</v>
      </c>
      <c r="D175" s="127">
        <v>25</v>
      </c>
      <c r="E175" s="208" t="e">
        <f>Input!$J$67*20%</f>
        <v>#REF!</v>
      </c>
      <c r="F175" s="209" t="e">
        <f>#REF!*6.8%*20%</f>
        <v>#REF!</v>
      </c>
      <c r="G175" s="209" t="e">
        <f>#REF!*6.8%*20%</f>
        <v>#REF!</v>
      </c>
    </row>
    <row r="176" spans="1:7" s="127" customFormat="1" x14ac:dyDescent="0.25">
      <c r="A176" s="80">
        <v>2047</v>
      </c>
      <c r="B176" s="127">
        <v>23</v>
      </c>
      <c r="C176" s="127">
        <v>24</v>
      </c>
      <c r="D176" s="127">
        <v>25</v>
      </c>
      <c r="E176" s="208" t="e">
        <f>Input!$J$67*20%</f>
        <v>#REF!</v>
      </c>
      <c r="F176" s="209" t="e">
        <f>#REF!*6.8%*20%</f>
        <v>#REF!</v>
      </c>
      <c r="G176" s="209" t="e">
        <f>#REF!*6.8%*20%</f>
        <v>#REF!</v>
      </c>
    </row>
    <row r="177" spans="1:7" s="127" customFormat="1" x14ac:dyDescent="0.25">
      <c r="A177" s="80">
        <v>2048</v>
      </c>
      <c r="B177" s="127">
        <v>23</v>
      </c>
      <c r="C177" s="127">
        <v>24</v>
      </c>
      <c r="D177" s="127">
        <v>25</v>
      </c>
      <c r="E177" s="208" t="e">
        <f>Input!$J$67*20%</f>
        <v>#REF!</v>
      </c>
      <c r="F177" s="209" t="e">
        <f>#REF!*6.8%*20%</f>
        <v>#REF!</v>
      </c>
      <c r="G177" s="209" t="e">
        <f>#REF!*6.8%*20%</f>
        <v>#REF!</v>
      </c>
    </row>
    <row r="178" spans="1:7" s="127" customFormat="1" x14ac:dyDescent="0.25">
      <c r="A178" s="80">
        <v>2049</v>
      </c>
      <c r="B178" s="127">
        <v>23</v>
      </c>
      <c r="C178" s="127">
        <v>24</v>
      </c>
      <c r="D178" s="127">
        <v>25</v>
      </c>
      <c r="E178" s="208" t="e">
        <f>Input!$J$67*20%</f>
        <v>#REF!</v>
      </c>
      <c r="F178" s="209" t="e">
        <f>#REF!*6.8%*20%</f>
        <v>#REF!</v>
      </c>
      <c r="G178" s="209" t="e">
        <f>#REF!*6.8%*20%</f>
        <v>#REF!</v>
      </c>
    </row>
    <row r="179" spans="1:7" s="127" customFormat="1" x14ac:dyDescent="0.25">
      <c r="A179" s="80">
        <v>2050</v>
      </c>
      <c r="B179" s="127">
        <v>23</v>
      </c>
      <c r="C179" s="127">
        <v>24</v>
      </c>
      <c r="D179" s="127">
        <v>25</v>
      </c>
      <c r="E179" s="208" t="e">
        <f>Input!$J$67*20%</f>
        <v>#REF!</v>
      </c>
      <c r="F179" s="209" t="e">
        <f>#REF!*6.8%*20%</f>
        <v>#REF!</v>
      </c>
      <c r="G179" s="209" t="e">
        <f>#REF!*6.8%*20%</f>
        <v>#REF!</v>
      </c>
    </row>
    <row r="180" spans="1:7" s="127" customFormat="1" x14ac:dyDescent="0.25">
      <c r="A180" s="80">
        <v>2051</v>
      </c>
      <c r="B180" s="127">
        <v>23</v>
      </c>
      <c r="C180" s="127">
        <v>24</v>
      </c>
      <c r="D180" s="127">
        <v>25</v>
      </c>
      <c r="E180" s="208" t="e">
        <f>Input!$J$67*20%</f>
        <v>#REF!</v>
      </c>
      <c r="F180" s="209" t="e">
        <f>#REF!*6.8%*20%</f>
        <v>#REF!</v>
      </c>
      <c r="G180" s="209" t="e">
        <f>#REF!*6.8%*20%</f>
        <v>#REF!</v>
      </c>
    </row>
    <row r="181" spans="1:7" s="127" customFormat="1" x14ac:dyDescent="0.25">
      <c r="A181" s="80">
        <v>2052</v>
      </c>
      <c r="B181" s="127">
        <v>23</v>
      </c>
      <c r="C181" s="127">
        <v>24</v>
      </c>
      <c r="D181" s="127">
        <v>25</v>
      </c>
      <c r="E181" s="208" t="e">
        <f>Input!$J$67*20%</f>
        <v>#REF!</v>
      </c>
      <c r="F181" s="209" t="e">
        <f>#REF!*6.8%*20%</f>
        <v>#REF!</v>
      </c>
      <c r="G181" s="209" t="e">
        <f>#REF!*6.8%*20%</f>
        <v>#REF!</v>
      </c>
    </row>
    <row r="182" spans="1:7" s="127" customFormat="1" x14ac:dyDescent="0.25">
      <c r="A182" s="80">
        <v>2053</v>
      </c>
      <c r="B182" s="127">
        <v>23</v>
      </c>
      <c r="C182" s="127">
        <v>24</v>
      </c>
      <c r="D182" s="127">
        <v>25</v>
      </c>
      <c r="E182" s="208" t="e">
        <f>Input!$J$67*20%</f>
        <v>#REF!</v>
      </c>
      <c r="F182" s="209" t="e">
        <f>#REF!*6.8%*20%</f>
        <v>#REF!</v>
      </c>
      <c r="G182" s="209" t="e">
        <f>#REF!*6.8%*20%</f>
        <v>#REF!</v>
      </c>
    </row>
    <row r="183" spans="1:7" s="127" customFormat="1" x14ac:dyDescent="0.25">
      <c r="A183" s="80">
        <v>2054</v>
      </c>
      <c r="B183" s="127">
        <v>23</v>
      </c>
      <c r="C183" s="127">
        <v>24</v>
      </c>
      <c r="D183" s="127">
        <v>25</v>
      </c>
      <c r="E183" s="208" t="e">
        <f>Input!$J$67*20%</f>
        <v>#REF!</v>
      </c>
      <c r="F183" s="209" t="e">
        <f>#REF!*6.8%*20%</f>
        <v>#REF!</v>
      </c>
      <c r="G183" s="209" t="e">
        <f>#REF!*6.8%*20%</f>
        <v>#REF!</v>
      </c>
    </row>
    <row r="184" spans="1:7" s="127" customFormat="1" x14ac:dyDescent="0.25">
      <c r="A184" s="80">
        <v>2055</v>
      </c>
      <c r="B184" s="127">
        <v>23</v>
      </c>
      <c r="C184" s="127">
        <v>24</v>
      </c>
      <c r="D184" s="127">
        <v>25</v>
      </c>
      <c r="E184" s="208" t="e">
        <f>Input!$J$67*20%</f>
        <v>#REF!</v>
      </c>
      <c r="F184" s="209" t="e">
        <f>#REF!*6.8%*20%</f>
        <v>#REF!</v>
      </c>
      <c r="G184" s="209" t="e">
        <f>#REF!*6.8%*20%</f>
        <v>#REF!</v>
      </c>
    </row>
    <row r="185" spans="1:7" s="127" customFormat="1" x14ac:dyDescent="0.25">
      <c r="A185" s="80">
        <v>2056</v>
      </c>
      <c r="B185" s="127">
        <v>23</v>
      </c>
      <c r="C185" s="127">
        <v>24</v>
      </c>
      <c r="D185" s="127">
        <v>25</v>
      </c>
      <c r="E185" s="208" t="e">
        <f>Input!$J$67*20%</f>
        <v>#REF!</v>
      </c>
      <c r="F185" s="209" t="e">
        <f>#REF!*6.8%*20%</f>
        <v>#REF!</v>
      </c>
      <c r="G185" s="209" t="e">
        <f>#REF!*6.8%*20%</f>
        <v>#REF!</v>
      </c>
    </row>
    <row r="186" spans="1:7" s="127" customFormat="1" x14ac:dyDescent="0.25">
      <c r="A186" s="80">
        <v>2057</v>
      </c>
      <c r="B186" s="127">
        <v>23</v>
      </c>
      <c r="C186" s="127">
        <v>24</v>
      </c>
      <c r="D186" s="127">
        <v>25</v>
      </c>
      <c r="E186" s="208" t="e">
        <f>Input!$J$67*20%</f>
        <v>#REF!</v>
      </c>
      <c r="F186" s="209" t="e">
        <f>#REF!*6.8%*20%</f>
        <v>#REF!</v>
      </c>
      <c r="G186" s="209" t="e">
        <f>#REF!*6.8%*20%</f>
        <v>#REF!</v>
      </c>
    </row>
    <row r="187" spans="1:7" s="127" customFormat="1" x14ac:dyDescent="0.25">
      <c r="A187" s="80">
        <v>2058</v>
      </c>
      <c r="B187" s="127">
        <v>23</v>
      </c>
      <c r="C187" s="127">
        <v>24</v>
      </c>
      <c r="D187" s="127">
        <v>25</v>
      </c>
      <c r="E187" s="208" t="e">
        <f>Input!$J$67*20%</f>
        <v>#REF!</v>
      </c>
      <c r="F187" s="209" t="e">
        <f>#REF!*6.8%*20%</f>
        <v>#REF!</v>
      </c>
      <c r="G187" s="209" t="e">
        <f>#REF!*6.8%*20%</f>
        <v>#REF!</v>
      </c>
    </row>
    <row r="188" spans="1:7" s="127" customFormat="1" x14ac:dyDescent="0.25">
      <c r="A188" s="80">
        <v>2059</v>
      </c>
      <c r="B188" s="127">
        <v>23</v>
      </c>
      <c r="C188" s="127">
        <v>24</v>
      </c>
      <c r="D188" s="127">
        <v>25</v>
      </c>
      <c r="E188" s="208" t="e">
        <f>Input!$J$67*20%</f>
        <v>#REF!</v>
      </c>
      <c r="F188" s="209" t="e">
        <f>#REF!*6.8%*20%</f>
        <v>#REF!</v>
      </c>
      <c r="G188" s="209" t="e">
        <f>#REF!*6.8%*20%</f>
        <v>#REF!</v>
      </c>
    </row>
    <row r="189" spans="1:7" s="127" customFormat="1" x14ac:dyDescent="0.25">
      <c r="A189" s="80">
        <v>2060</v>
      </c>
      <c r="B189" s="127">
        <v>23</v>
      </c>
      <c r="C189" s="127">
        <v>24</v>
      </c>
      <c r="D189" s="127">
        <v>25</v>
      </c>
      <c r="E189" s="208" t="e">
        <f>Input!$J$67*20%</f>
        <v>#REF!</v>
      </c>
      <c r="F189" s="209" t="e">
        <f>#REF!*6.8%*20%</f>
        <v>#REF!</v>
      </c>
      <c r="G189" s="209" t="e">
        <f>#REF!*6.8%*20%</f>
        <v>#REF!</v>
      </c>
    </row>
    <row r="190" spans="1:7" s="127" customFormat="1" x14ac:dyDescent="0.25">
      <c r="A190" s="80">
        <v>2061</v>
      </c>
      <c r="B190" s="127">
        <v>23</v>
      </c>
      <c r="C190" s="127">
        <v>24</v>
      </c>
      <c r="D190" s="127">
        <v>25</v>
      </c>
      <c r="E190" s="208" t="e">
        <f>Input!$J$67*20%</f>
        <v>#REF!</v>
      </c>
      <c r="F190" s="209" t="e">
        <f>#REF!*6.8%*20%</f>
        <v>#REF!</v>
      </c>
      <c r="G190" s="209" t="e">
        <f>#REF!*6.8%*20%</f>
        <v>#REF!</v>
      </c>
    </row>
    <row r="191" spans="1:7" s="127" customFormat="1" x14ac:dyDescent="0.25">
      <c r="A191" s="80">
        <v>2062</v>
      </c>
      <c r="B191" s="127">
        <v>23</v>
      </c>
      <c r="C191" s="127">
        <v>24</v>
      </c>
      <c r="D191" s="127">
        <v>25</v>
      </c>
      <c r="E191" s="208" t="e">
        <f>Input!$J$67*20%</f>
        <v>#REF!</v>
      </c>
      <c r="F191" s="209" t="e">
        <f>#REF!*6.8%*20%</f>
        <v>#REF!</v>
      </c>
      <c r="G191" s="209" t="e">
        <f>#REF!*6.8%*20%</f>
        <v>#REF!</v>
      </c>
    </row>
    <row r="192" spans="1:7" s="127" customFormat="1" x14ac:dyDescent="0.25">
      <c r="A192" s="80">
        <v>2063</v>
      </c>
      <c r="B192" s="127">
        <v>23</v>
      </c>
      <c r="C192" s="127">
        <v>24</v>
      </c>
      <c r="D192" s="127">
        <v>25</v>
      </c>
      <c r="E192" s="208" t="e">
        <f>Input!$J$67*20%</f>
        <v>#REF!</v>
      </c>
      <c r="F192" s="209" t="e">
        <f>#REF!*6.8%*20%</f>
        <v>#REF!</v>
      </c>
      <c r="G192" s="209" t="e">
        <f>#REF!*6.8%*20%</f>
        <v>#REF!</v>
      </c>
    </row>
    <row r="193" spans="1:7" s="127" customFormat="1" x14ac:dyDescent="0.25">
      <c r="A193" s="80">
        <v>2064</v>
      </c>
      <c r="B193" s="127">
        <v>23</v>
      </c>
      <c r="C193" s="127">
        <v>24</v>
      </c>
      <c r="D193" s="127">
        <v>25</v>
      </c>
      <c r="E193" s="208" t="e">
        <f>Input!$J$67*20%</f>
        <v>#REF!</v>
      </c>
      <c r="F193" s="209" t="e">
        <f>#REF!*6.8%*20%</f>
        <v>#REF!</v>
      </c>
      <c r="G193" s="209" t="e">
        <f>#REF!*6.8%*20%</f>
        <v>#REF!</v>
      </c>
    </row>
    <row r="194" spans="1:7" s="127" customFormat="1" x14ac:dyDescent="0.25">
      <c r="A194" s="80">
        <v>2065</v>
      </c>
      <c r="B194" s="127">
        <v>23</v>
      </c>
      <c r="C194" s="127">
        <v>24</v>
      </c>
      <c r="D194" s="127">
        <v>25</v>
      </c>
      <c r="E194" s="208" t="e">
        <f>Input!$J$67*20%</f>
        <v>#REF!</v>
      </c>
      <c r="F194" s="209" t="e">
        <f>#REF!*6.8%*20%</f>
        <v>#REF!</v>
      </c>
      <c r="G194" s="209" t="e">
        <f>#REF!*6.8%*20%</f>
        <v>#REF!</v>
      </c>
    </row>
    <row r="195" spans="1:7" s="127" customFormat="1" x14ac:dyDescent="0.25">
      <c r="A195" s="80">
        <v>2066</v>
      </c>
      <c r="B195" s="127">
        <v>23</v>
      </c>
      <c r="C195" s="127">
        <v>24</v>
      </c>
      <c r="D195" s="127">
        <v>25</v>
      </c>
      <c r="E195" s="208" t="e">
        <f>Input!$J$67*20%</f>
        <v>#REF!</v>
      </c>
      <c r="F195" s="209" t="e">
        <f>#REF!*6.8%*20%</f>
        <v>#REF!</v>
      </c>
      <c r="G195" s="209" t="e">
        <f>#REF!*6.8%*20%</f>
        <v>#REF!</v>
      </c>
    </row>
    <row r="196" spans="1:7" s="127" customFormat="1" x14ac:dyDescent="0.25">
      <c r="A196" s="80">
        <v>2067</v>
      </c>
      <c r="B196" s="127">
        <v>23</v>
      </c>
      <c r="C196" s="127">
        <v>24</v>
      </c>
      <c r="D196" s="127">
        <v>25</v>
      </c>
      <c r="E196" s="208" t="e">
        <f>Input!$J$67*20%</f>
        <v>#REF!</v>
      </c>
      <c r="F196" s="209" t="e">
        <f>#REF!*6.8%*20%</f>
        <v>#REF!</v>
      </c>
      <c r="G196" s="209" t="e">
        <f>#REF!*6.8%*20%</f>
        <v>#REF!</v>
      </c>
    </row>
    <row r="197" spans="1:7" s="127" customFormat="1" x14ac:dyDescent="0.25">
      <c r="A197" s="80">
        <v>2068</v>
      </c>
      <c r="B197" s="127">
        <v>23</v>
      </c>
      <c r="C197" s="127">
        <v>24</v>
      </c>
      <c r="D197" s="127">
        <v>25</v>
      </c>
      <c r="E197" s="208" t="e">
        <f>Input!$J$67*20%</f>
        <v>#REF!</v>
      </c>
      <c r="F197" s="209" t="e">
        <f>#REF!*6.8%*20%</f>
        <v>#REF!</v>
      </c>
      <c r="G197" s="209" t="e">
        <f>#REF!*6.8%*20%</f>
        <v>#REF!</v>
      </c>
    </row>
    <row r="198" spans="1:7" s="127" customFormat="1" x14ac:dyDescent="0.25">
      <c r="A198" s="80">
        <v>2069</v>
      </c>
      <c r="B198" s="127">
        <v>23</v>
      </c>
      <c r="C198" s="127">
        <v>24</v>
      </c>
      <c r="D198" s="127">
        <v>25</v>
      </c>
      <c r="E198" s="208" t="e">
        <f>Input!$J$67*20%</f>
        <v>#REF!</v>
      </c>
      <c r="F198" s="209" t="e">
        <f>#REF!*6.8%*20%</f>
        <v>#REF!</v>
      </c>
      <c r="G198" s="209" t="e">
        <f>#REF!*6.8%*20%</f>
        <v>#REF!</v>
      </c>
    </row>
    <row r="199" spans="1:7" s="127" customFormat="1" x14ac:dyDescent="0.25">
      <c r="A199" s="80">
        <v>2070</v>
      </c>
      <c r="B199" s="127">
        <v>23</v>
      </c>
      <c r="C199" s="127">
        <v>24</v>
      </c>
      <c r="D199" s="127">
        <v>25</v>
      </c>
      <c r="E199" s="208" t="e">
        <f>Input!$J$67*20%</f>
        <v>#REF!</v>
      </c>
      <c r="F199" s="209" t="e">
        <f>#REF!*6.8%*20%</f>
        <v>#REF!</v>
      </c>
      <c r="G199" s="209" t="e">
        <f>#REF!*6.8%*20%</f>
        <v>#REF!</v>
      </c>
    </row>
    <row r="200" spans="1:7" s="127" customFormat="1" x14ac:dyDescent="0.25">
      <c r="A200" s="80">
        <v>2071</v>
      </c>
      <c r="B200" s="127">
        <v>23</v>
      </c>
      <c r="C200" s="127">
        <v>24</v>
      </c>
      <c r="D200" s="127">
        <v>25</v>
      </c>
      <c r="E200" s="208" t="e">
        <f>Input!$J$67*20%</f>
        <v>#REF!</v>
      </c>
      <c r="F200" s="209" t="e">
        <f>#REF!*6.8%*20%</f>
        <v>#REF!</v>
      </c>
      <c r="G200" s="209" t="e">
        <f>#REF!*6.8%*20%</f>
        <v>#REF!</v>
      </c>
    </row>
    <row r="201" spans="1:7" s="127" customFormat="1" x14ac:dyDescent="0.25">
      <c r="A201" s="80">
        <v>2072</v>
      </c>
      <c r="B201" s="127">
        <v>23</v>
      </c>
      <c r="C201" s="127">
        <v>24</v>
      </c>
      <c r="D201" s="127">
        <v>25</v>
      </c>
      <c r="E201" s="208" t="e">
        <f>Input!$J$67*20%</f>
        <v>#REF!</v>
      </c>
      <c r="F201" s="209" t="e">
        <f>#REF!*6.8%*20%</f>
        <v>#REF!</v>
      </c>
      <c r="G201" s="209" t="e">
        <f>#REF!*6.8%*20%</f>
        <v>#REF!</v>
      </c>
    </row>
    <row r="202" spans="1:7" s="127" customFormat="1" x14ac:dyDescent="0.25">
      <c r="A202" s="80">
        <v>2073</v>
      </c>
      <c r="B202" s="127">
        <v>23</v>
      </c>
      <c r="C202" s="127">
        <v>24</v>
      </c>
      <c r="D202" s="127">
        <v>25</v>
      </c>
      <c r="E202" s="208" t="e">
        <f>Input!$J$67*20%</f>
        <v>#REF!</v>
      </c>
      <c r="F202" s="209" t="e">
        <f>#REF!*6.8%*20%</f>
        <v>#REF!</v>
      </c>
      <c r="G202" s="209" t="e">
        <f>#REF!*6.8%*20%</f>
        <v>#REF!</v>
      </c>
    </row>
    <row r="203" spans="1:7" s="127" customFormat="1" x14ac:dyDescent="0.25">
      <c r="A203" s="80">
        <v>2074</v>
      </c>
      <c r="B203" s="127">
        <v>23</v>
      </c>
      <c r="C203" s="127">
        <v>24</v>
      </c>
      <c r="D203" s="127">
        <v>25</v>
      </c>
      <c r="E203" s="208" t="e">
        <f>Input!$J$67*20%</f>
        <v>#REF!</v>
      </c>
      <c r="F203" s="209" t="e">
        <f>#REF!*6.8%*20%</f>
        <v>#REF!</v>
      </c>
      <c r="G203" s="209" t="e">
        <f>#REF!*6.8%*20%</f>
        <v>#REF!</v>
      </c>
    </row>
    <row r="204" spans="1:7" s="127" customFormat="1" x14ac:dyDescent="0.25">
      <c r="A204" s="80">
        <v>2075</v>
      </c>
      <c r="B204" s="127">
        <v>23</v>
      </c>
      <c r="C204" s="127">
        <v>24</v>
      </c>
      <c r="D204" s="127">
        <v>25</v>
      </c>
      <c r="E204" s="208" t="e">
        <f>Input!$J$67*20%</f>
        <v>#REF!</v>
      </c>
      <c r="F204" s="209" t="e">
        <f>#REF!*6.8%*20%</f>
        <v>#REF!</v>
      </c>
      <c r="G204" s="209" t="e">
        <f>#REF!*6.8%*20%</f>
        <v>#REF!</v>
      </c>
    </row>
    <row r="205" spans="1:7" s="127" customFormat="1" x14ac:dyDescent="0.25">
      <c r="A205" s="80">
        <v>2076</v>
      </c>
      <c r="B205" s="127">
        <v>23</v>
      </c>
      <c r="C205" s="127">
        <v>24</v>
      </c>
      <c r="D205" s="127">
        <v>25</v>
      </c>
      <c r="E205" s="208" t="e">
        <f>Input!$J$67*20%</f>
        <v>#REF!</v>
      </c>
      <c r="F205" s="209" t="e">
        <f>#REF!*6.8%*20%</f>
        <v>#REF!</v>
      </c>
      <c r="G205" s="209" t="e">
        <f>#REF!*6.8%*20%</f>
        <v>#REF!</v>
      </c>
    </row>
    <row r="206" spans="1:7" s="127" customFormat="1" x14ac:dyDescent="0.25">
      <c r="A206" s="80">
        <v>2077</v>
      </c>
      <c r="B206" s="127">
        <v>23</v>
      </c>
      <c r="C206" s="127">
        <v>24</v>
      </c>
      <c r="D206" s="127">
        <v>25</v>
      </c>
      <c r="E206" s="208" t="e">
        <f>Input!$J$67*20%</f>
        <v>#REF!</v>
      </c>
      <c r="F206" s="209" t="e">
        <f>#REF!*6.8%*20%</f>
        <v>#REF!</v>
      </c>
      <c r="G206" s="209" t="e">
        <f>#REF!*6.8%*20%</f>
        <v>#REF!</v>
      </c>
    </row>
    <row r="207" spans="1:7" s="127" customFormat="1" x14ac:dyDescent="0.25">
      <c r="A207" s="80">
        <v>2078</v>
      </c>
      <c r="B207" s="127">
        <v>23</v>
      </c>
      <c r="C207" s="127">
        <v>24</v>
      </c>
      <c r="D207" s="127">
        <v>25</v>
      </c>
      <c r="E207" s="208" t="e">
        <f>Input!$J$67*20%</f>
        <v>#REF!</v>
      </c>
      <c r="F207" s="209" t="e">
        <f>#REF!*6.8%*20%</f>
        <v>#REF!</v>
      </c>
      <c r="G207" s="209" t="e">
        <f>#REF!*6.8%*20%</f>
        <v>#REF!</v>
      </c>
    </row>
    <row r="208" spans="1:7" s="127" customFormat="1" x14ac:dyDescent="0.25">
      <c r="A208" s="80">
        <v>2079</v>
      </c>
      <c r="B208" s="127">
        <v>23</v>
      </c>
      <c r="C208" s="127">
        <v>24</v>
      </c>
      <c r="D208" s="127">
        <v>25</v>
      </c>
      <c r="E208" s="208" t="e">
        <f>Input!$J$67*20%</f>
        <v>#REF!</v>
      </c>
      <c r="F208" s="209" t="e">
        <f>#REF!*6.8%*20%</f>
        <v>#REF!</v>
      </c>
      <c r="G208" s="209" t="e">
        <f>#REF!*6.8%*20%</f>
        <v>#REF!</v>
      </c>
    </row>
    <row r="209" spans="1:7" s="127" customFormat="1" x14ac:dyDescent="0.25">
      <c r="A209" s="80">
        <v>2080</v>
      </c>
      <c r="B209" s="127">
        <v>23</v>
      </c>
      <c r="C209" s="127">
        <v>24</v>
      </c>
      <c r="D209" s="127">
        <v>25</v>
      </c>
      <c r="E209" s="208" t="e">
        <f>Input!$J$67*20%</f>
        <v>#REF!</v>
      </c>
      <c r="F209" s="209" t="e">
        <f>#REF!*6.8%*20%</f>
        <v>#REF!</v>
      </c>
      <c r="G209" s="209" t="e">
        <f>#REF!*6.8%*20%</f>
        <v>#REF!</v>
      </c>
    </row>
    <row r="210" spans="1:7" s="127" customFormat="1" x14ac:dyDescent="0.25">
      <c r="A210" s="80">
        <v>2081</v>
      </c>
      <c r="B210" s="127">
        <v>23</v>
      </c>
      <c r="C210" s="127">
        <v>24</v>
      </c>
      <c r="D210" s="127">
        <v>25</v>
      </c>
      <c r="E210" s="208" t="e">
        <f>Input!$J$67*20%</f>
        <v>#REF!</v>
      </c>
      <c r="F210" s="209" t="e">
        <f>#REF!*6.8%*20%</f>
        <v>#REF!</v>
      </c>
      <c r="G210" s="209" t="e">
        <f>#REF!*6.8%*20%</f>
        <v>#REF!</v>
      </c>
    </row>
    <row r="211" spans="1:7" s="127" customFormat="1" x14ac:dyDescent="0.25">
      <c r="A211" s="80">
        <v>2082</v>
      </c>
      <c r="B211" s="127">
        <v>23</v>
      </c>
      <c r="C211" s="127">
        <v>24</v>
      </c>
      <c r="D211" s="127">
        <v>25</v>
      </c>
      <c r="E211" s="208" t="e">
        <f>Input!$J$67*20%</f>
        <v>#REF!</v>
      </c>
      <c r="F211" s="209" t="e">
        <f>#REF!*6.8%*20%</f>
        <v>#REF!</v>
      </c>
      <c r="G211" s="209" t="e">
        <f>#REF!*6.8%*20%</f>
        <v>#REF!</v>
      </c>
    </row>
    <row r="212" spans="1:7" s="127" customFormat="1" x14ac:dyDescent="0.25">
      <c r="A212" s="80">
        <v>2083</v>
      </c>
      <c r="B212" s="127">
        <v>23</v>
      </c>
      <c r="C212" s="127">
        <v>24</v>
      </c>
      <c r="D212" s="127">
        <v>25</v>
      </c>
      <c r="E212" s="208" t="e">
        <f>Input!$J$67*20%</f>
        <v>#REF!</v>
      </c>
      <c r="F212" s="209" t="e">
        <f>#REF!*6.8%*20%</f>
        <v>#REF!</v>
      </c>
      <c r="G212" s="209" t="e">
        <f>#REF!*6.8%*20%</f>
        <v>#REF!</v>
      </c>
    </row>
    <row r="213" spans="1:7" s="127" customFormat="1" x14ac:dyDescent="0.25">
      <c r="A213" s="80">
        <v>2084</v>
      </c>
      <c r="B213" s="127">
        <v>23</v>
      </c>
      <c r="C213" s="127">
        <v>24</v>
      </c>
      <c r="D213" s="127">
        <v>25</v>
      </c>
      <c r="E213" s="208" t="e">
        <f>Input!$J$67*20%</f>
        <v>#REF!</v>
      </c>
      <c r="F213" s="209" t="e">
        <f>#REF!*6.8%*20%</f>
        <v>#REF!</v>
      </c>
      <c r="G213" s="209" t="e">
        <f>#REF!*6.8%*20%</f>
        <v>#REF!</v>
      </c>
    </row>
    <row r="214" spans="1:7" s="127" customFormat="1" x14ac:dyDescent="0.25">
      <c r="A214" s="80">
        <v>2085</v>
      </c>
      <c r="B214" s="127">
        <v>23</v>
      </c>
      <c r="C214" s="127">
        <v>24</v>
      </c>
      <c r="D214" s="127">
        <v>25</v>
      </c>
      <c r="E214" s="208" t="e">
        <f>Input!$J$67*20%</f>
        <v>#REF!</v>
      </c>
      <c r="F214" s="209" t="e">
        <f>#REF!*6.8%*20%</f>
        <v>#REF!</v>
      </c>
      <c r="G214" s="209" t="e">
        <f>#REF!*6.8%*20%</f>
        <v>#REF!</v>
      </c>
    </row>
    <row r="215" spans="1:7" s="127" customFormat="1" x14ac:dyDescent="0.25">
      <c r="A215" s="80">
        <v>2086</v>
      </c>
      <c r="B215" s="127">
        <v>23</v>
      </c>
      <c r="C215" s="127">
        <v>24</v>
      </c>
      <c r="D215" s="127">
        <v>25</v>
      </c>
      <c r="E215" s="208" t="e">
        <f>Input!$J$67*20%</f>
        <v>#REF!</v>
      </c>
      <c r="F215" s="209" t="e">
        <f>#REF!*6.8%*20%</f>
        <v>#REF!</v>
      </c>
      <c r="G215" s="209" t="e">
        <f>#REF!*6.8%*20%</f>
        <v>#REF!</v>
      </c>
    </row>
    <row r="216" spans="1:7" s="127" customFormat="1" x14ac:dyDescent="0.25">
      <c r="A216" s="80">
        <v>2087</v>
      </c>
      <c r="B216" s="127">
        <v>23</v>
      </c>
      <c r="C216" s="127">
        <v>24</v>
      </c>
      <c r="D216" s="127">
        <v>25</v>
      </c>
      <c r="E216" s="208" t="e">
        <f>Input!$J$67*20%</f>
        <v>#REF!</v>
      </c>
      <c r="F216" s="209" t="e">
        <f>#REF!*6.8%*20%</f>
        <v>#REF!</v>
      </c>
      <c r="G216" s="209" t="e">
        <f>#REF!*6.8%*20%</f>
        <v>#REF!</v>
      </c>
    </row>
    <row r="217" spans="1:7" s="127" customFormat="1" x14ac:dyDescent="0.25">
      <c r="A217" s="80">
        <v>2088</v>
      </c>
      <c r="B217" s="127">
        <v>23</v>
      </c>
      <c r="C217" s="127">
        <v>24</v>
      </c>
      <c r="D217" s="127">
        <v>25</v>
      </c>
      <c r="E217" s="208" t="e">
        <f>Input!$J$67*20%</f>
        <v>#REF!</v>
      </c>
      <c r="F217" s="209" t="e">
        <f>#REF!*6.8%*20%</f>
        <v>#REF!</v>
      </c>
      <c r="G217" s="209" t="e">
        <f>#REF!*6.8%*20%</f>
        <v>#REF!</v>
      </c>
    </row>
    <row r="218" spans="1:7" s="127" customFormat="1" x14ac:dyDescent="0.25">
      <c r="A218" s="80">
        <v>2089</v>
      </c>
      <c r="B218" s="127">
        <v>23</v>
      </c>
      <c r="C218" s="127">
        <v>24</v>
      </c>
      <c r="D218" s="127">
        <v>25</v>
      </c>
      <c r="E218" s="208" t="e">
        <f>Input!$J$67*20%</f>
        <v>#REF!</v>
      </c>
      <c r="F218" s="209" t="e">
        <f>#REF!*6.8%*20%</f>
        <v>#REF!</v>
      </c>
      <c r="G218" s="209" t="e">
        <f>#REF!*6.8%*20%</f>
        <v>#REF!</v>
      </c>
    </row>
    <row r="219" spans="1:7" s="127" customFormat="1" x14ac:dyDescent="0.25">
      <c r="A219" s="80">
        <v>2090</v>
      </c>
      <c r="B219" s="127">
        <v>23</v>
      </c>
      <c r="C219" s="127">
        <v>24</v>
      </c>
      <c r="D219" s="127">
        <v>25</v>
      </c>
      <c r="E219" s="208" t="e">
        <f>Input!$J$67*20%</f>
        <v>#REF!</v>
      </c>
      <c r="F219" s="209" t="e">
        <f>#REF!*6.8%*20%</f>
        <v>#REF!</v>
      </c>
      <c r="G219" s="209" t="e">
        <f>#REF!*6.8%*20%</f>
        <v>#REF!</v>
      </c>
    </row>
    <row r="220" spans="1:7" s="127" customFormat="1" x14ac:dyDescent="0.25">
      <c r="A220" s="80">
        <v>2091</v>
      </c>
      <c r="B220" s="127">
        <v>23</v>
      </c>
      <c r="C220" s="127">
        <v>24</v>
      </c>
      <c r="D220" s="127">
        <v>25</v>
      </c>
      <c r="E220" s="208" t="e">
        <f>Input!$J$67*20%</f>
        <v>#REF!</v>
      </c>
      <c r="F220" s="209" t="e">
        <f>#REF!*6.8%*20%</f>
        <v>#REF!</v>
      </c>
      <c r="G220" s="209" t="e">
        <f>#REF!*6.8%*20%</f>
        <v>#REF!</v>
      </c>
    </row>
    <row r="221" spans="1:7" s="127" customFormat="1" x14ac:dyDescent="0.25">
      <c r="A221" s="80">
        <v>2092</v>
      </c>
      <c r="B221" s="127">
        <v>23</v>
      </c>
      <c r="C221" s="127">
        <v>24</v>
      </c>
      <c r="D221" s="127">
        <v>25</v>
      </c>
      <c r="E221" s="208" t="e">
        <f>Input!$J$67*20%</f>
        <v>#REF!</v>
      </c>
      <c r="F221" s="209" t="e">
        <f>#REF!*6.8%*20%</f>
        <v>#REF!</v>
      </c>
      <c r="G221" s="209" t="e">
        <f>#REF!*6.8%*20%</f>
        <v>#REF!</v>
      </c>
    </row>
    <row r="222" spans="1:7" s="127" customFormat="1" x14ac:dyDescent="0.25">
      <c r="A222" s="80">
        <v>2093</v>
      </c>
      <c r="B222" s="127">
        <v>23</v>
      </c>
      <c r="C222" s="127">
        <v>24</v>
      </c>
      <c r="D222" s="127">
        <v>25</v>
      </c>
      <c r="E222" s="208" t="e">
        <f>Input!$J$67*20%</f>
        <v>#REF!</v>
      </c>
      <c r="F222" s="209" t="e">
        <f>#REF!*6.8%*20%</f>
        <v>#REF!</v>
      </c>
      <c r="G222" s="209" t="e">
        <f>#REF!*6.8%*20%</f>
        <v>#REF!</v>
      </c>
    </row>
    <row r="223" spans="1:7" s="127" customFormat="1" x14ac:dyDescent="0.25">
      <c r="A223" s="80">
        <v>2094</v>
      </c>
      <c r="B223" s="127">
        <v>23</v>
      </c>
      <c r="C223" s="127">
        <v>24</v>
      </c>
      <c r="D223" s="127">
        <v>25</v>
      </c>
      <c r="E223" s="208" t="e">
        <f>Input!$J$67*20%</f>
        <v>#REF!</v>
      </c>
      <c r="F223" s="209" t="e">
        <f>#REF!*6.8%*20%</f>
        <v>#REF!</v>
      </c>
      <c r="G223" s="209" t="e">
        <f>#REF!*6.8%*20%</f>
        <v>#REF!</v>
      </c>
    </row>
    <row r="224" spans="1:7" s="127" customFormat="1" x14ac:dyDescent="0.25">
      <c r="A224" s="80">
        <v>2095</v>
      </c>
      <c r="B224" s="127">
        <v>23</v>
      </c>
      <c r="C224" s="127">
        <v>24</v>
      </c>
      <c r="D224" s="127">
        <v>25</v>
      </c>
      <c r="E224" s="208" t="e">
        <f>Input!$J$67*20%</f>
        <v>#REF!</v>
      </c>
      <c r="F224" s="209" t="e">
        <f>#REF!*6.8%*20%</f>
        <v>#REF!</v>
      </c>
      <c r="G224" s="209" t="e">
        <f>#REF!*6.8%*20%</f>
        <v>#REF!</v>
      </c>
    </row>
    <row r="225" spans="1:7" s="127" customFormat="1" x14ac:dyDescent="0.25">
      <c r="A225" s="80">
        <v>2096</v>
      </c>
      <c r="B225" s="127">
        <v>23</v>
      </c>
      <c r="C225" s="127">
        <v>24</v>
      </c>
      <c r="D225" s="127">
        <v>25</v>
      </c>
      <c r="E225" s="208" t="e">
        <f>Input!$J$67*20%</f>
        <v>#REF!</v>
      </c>
      <c r="F225" s="209" t="e">
        <f>#REF!*6.8%*20%</f>
        <v>#REF!</v>
      </c>
      <c r="G225" s="209" t="e">
        <f>#REF!*6.8%*20%</f>
        <v>#REF!</v>
      </c>
    </row>
    <row r="226" spans="1:7" s="127" customFormat="1" x14ac:dyDescent="0.25">
      <c r="A226" s="80">
        <v>2097</v>
      </c>
      <c r="B226" s="127">
        <v>23</v>
      </c>
      <c r="C226" s="127">
        <v>24</v>
      </c>
      <c r="D226" s="127">
        <v>25</v>
      </c>
      <c r="E226" s="208" t="e">
        <f>Input!$J$67*20%</f>
        <v>#REF!</v>
      </c>
      <c r="F226" s="209" t="e">
        <f>#REF!*6.8%*20%</f>
        <v>#REF!</v>
      </c>
      <c r="G226" s="209" t="e">
        <f>#REF!*6.8%*20%</f>
        <v>#REF!</v>
      </c>
    </row>
    <row r="227" spans="1:7" s="127" customFormat="1" x14ac:dyDescent="0.25">
      <c r="A227" s="80">
        <v>2098</v>
      </c>
      <c r="B227" s="127">
        <v>23</v>
      </c>
      <c r="C227" s="127">
        <v>24</v>
      </c>
      <c r="D227" s="127">
        <v>25</v>
      </c>
      <c r="E227" s="208" t="e">
        <f>Input!$J$67*20%</f>
        <v>#REF!</v>
      </c>
      <c r="F227" s="209" t="e">
        <f>#REF!*6.8%*20%</f>
        <v>#REF!</v>
      </c>
      <c r="G227" s="209" t="e">
        <f>#REF!*6.8%*20%</f>
        <v>#REF!</v>
      </c>
    </row>
    <row r="228" spans="1:7" s="127" customFormat="1" x14ac:dyDescent="0.25">
      <c r="A228" s="80">
        <v>2099</v>
      </c>
      <c r="B228" s="127">
        <v>23</v>
      </c>
      <c r="C228" s="127">
        <v>24</v>
      </c>
      <c r="D228" s="127">
        <v>25</v>
      </c>
      <c r="E228" s="208" t="e">
        <f>Input!$J$67*20%</f>
        <v>#REF!</v>
      </c>
      <c r="F228" s="209" t="e">
        <f>#REF!*6.8%*20%</f>
        <v>#REF!</v>
      </c>
      <c r="G228" s="209" t="e">
        <f>#REF!*6.8%*20%</f>
        <v>#REF!</v>
      </c>
    </row>
    <row r="229" spans="1:7" s="127" customFormat="1" x14ac:dyDescent="0.25">
      <c r="A229" s="80">
        <v>2100</v>
      </c>
      <c r="B229" s="127">
        <v>23</v>
      </c>
      <c r="C229" s="127">
        <v>24</v>
      </c>
      <c r="D229" s="127">
        <v>25</v>
      </c>
      <c r="E229" s="208" t="e">
        <f>Input!$J$67*20%</f>
        <v>#REF!</v>
      </c>
      <c r="F229" s="209" t="e">
        <f>#REF!*6.8%*20%</f>
        <v>#REF!</v>
      </c>
      <c r="G229" s="209" t="e">
        <f>#REF!*6.8%*20%</f>
        <v>#REF!</v>
      </c>
    </row>
    <row r="230" spans="1:7" s="126" customFormat="1" x14ac:dyDescent="0.25"/>
    <row r="231" spans="1:7" s="126" customFormat="1" x14ac:dyDescent="0.25"/>
    <row r="232" spans="1:7" s="126" customFormat="1" x14ac:dyDescent="0.25"/>
    <row r="233" spans="1:7" s="126" customFormat="1" x14ac:dyDescent="0.25"/>
    <row r="234" spans="1:7" s="126" customFormat="1" x14ac:dyDescent="0.25"/>
    <row r="235" spans="1:7" s="126" customFormat="1" x14ac:dyDescent="0.25"/>
    <row r="236" spans="1:7" s="126" customFormat="1" x14ac:dyDescent="0.25"/>
    <row r="237" spans="1:7" s="126" customFormat="1" x14ac:dyDescent="0.25"/>
    <row r="238" spans="1:7" s="126" customFormat="1" x14ac:dyDescent="0.25"/>
    <row r="239" spans="1:7" s="126" customFormat="1" x14ac:dyDescent="0.25"/>
  </sheetData>
  <sheetProtection password="DCF3" sheet="1" objects="1" scenarios="1"/>
  <phoneticPr fontId="2" type="noConversion"/>
  <pageMargins left="0.39370078740157483" right="0.39370078740157483" top="0.39370078740157483" bottom="0.39370078740157483" header="0.51181102362204722" footer="0.51181102362204722"/>
  <pageSetup paperSize="9" orientation="landscape" r:id="rId1"/>
  <headerFooter alignWithMargins="0"/>
  <rowBreaks count="3" manualBreakCount="3">
    <brk id="32" max="16383" man="1"/>
    <brk id="48" max="16383" man="1"/>
    <brk id="91" max="16383" man="1"/>
  </rowBreaks>
  <customProperties>
    <customPr name="SSCSheetTrackingNo"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30"/>
  <sheetViews>
    <sheetView showGridLines="0" zoomScale="130" zoomScaleNormal="130" workbookViewId="0">
      <selection activeCell="C30" sqref="C30"/>
    </sheetView>
  </sheetViews>
  <sheetFormatPr baseColWidth="10" defaultRowHeight="13.2" x14ac:dyDescent="0.25"/>
  <sheetData>
    <row r="2" spans="1:6" ht="21" x14ac:dyDescent="0.4">
      <c r="A2" s="577" t="str">
        <f>Beiträge!B2</f>
        <v>Contributi 2026</v>
      </c>
    </row>
    <row r="4" spans="1:6" x14ac:dyDescent="0.25">
      <c r="A4" s="666" t="str">
        <f>Beiträge!B4</f>
        <v>Esempio secondo il dettaglio dei contributi</v>
      </c>
      <c r="B4" s="667"/>
    </row>
    <row r="5" spans="1:6" x14ac:dyDescent="0.25">
      <c r="A5" s="668" t="str">
        <f>Beiträge!B5</f>
        <v>Rossi,Giovanna</v>
      </c>
      <c r="B5" s="667"/>
    </row>
    <row r="6" spans="1:6" x14ac:dyDescent="0.25">
      <c r="A6" s="668" t="str">
        <f>Beiträge!B6</f>
        <v>[Numero AVS]</v>
      </c>
      <c r="B6" s="667"/>
    </row>
    <row r="7" spans="1:6" x14ac:dyDescent="0.25">
      <c r="A7" s="668" t="str">
        <f>Beiträge!B7</f>
        <v>F / 16.05.1986</v>
      </c>
      <c r="B7" s="667"/>
    </row>
    <row r="8" spans="1:6" x14ac:dyDescent="0.25">
      <c r="A8" s="668" t="str">
        <f>Beiträge!B8</f>
        <v>1060 / 12011001 / 553 / 50 / [100] / 25</v>
      </c>
      <c r="B8" s="667"/>
    </row>
    <row r="9" spans="1:6" x14ac:dyDescent="0.25">
      <c r="A9" s="667" t="str">
        <f>Beiträge!B9</f>
        <v>[Indirizzo]</v>
      </c>
      <c r="B9" s="667"/>
    </row>
    <row r="12" spans="1:6" x14ac:dyDescent="0.25">
      <c r="A12" s="117" t="str">
        <f>Beiträge!B12</f>
        <v>Cognome</v>
      </c>
      <c r="B12" s="117"/>
      <c r="C12" s="117" t="str">
        <f>Beiträge!D12</f>
        <v>Nome</v>
      </c>
    </row>
    <row r="13" spans="1:6" ht="13.8" thickBot="1" x14ac:dyDescent="0.3">
      <c r="A13" s="701">
        <f>Beiträge!B13</f>
        <v>0</v>
      </c>
      <c r="B13" s="702"/>
      <c r="C13" s="703">
        <f>Beiträge!D13</f>
        <v>0</v>
      </c>
      <c r="D13" s="704"/>
    </row>
    <row r="14" spans="1:6" ht="13.8" thickTop="1" x14ac:dyDescent="0.25">
      <c r="A14" s="708"/>
      <c r="B14" s="708"/>
      <c r="C14" s="709" t="str">
        <f>Beiträge!D14</f>
        <v>Anita</v>
      </c>
      <c r="D14" s="710"/>
    </row>
    <row r="16" spans="1:6" x14ac:dyDescent="0.25">
      <c r="A16" s="480" t="str">
        <f>Beiträge!B16</f>
        <v>Sesso</v>
      </c>
      <c r="B16" s="480" t="str">
        <f>Beiträge!C16</f>
        <v>Data di nascita</v>
      </c>
      <c r="C16" s="479"/>
      <c r="D16" s="479"/>
      <c r="E16" s="479"/>
      <c r="F16" s="479"/>
    </row>
    <row r="17" spans="1:6" ht="13.8" thickBot="1" x14ac:dyDescent="0.3">
      <c r="A17" s="672">
        <f>Beiträge!B17</f>
        <v>0</v>
      </c>
      <c r="B17" s="673">
        <f>Beiträge!C17</f>
        <v>0</v>
      </c>
      <c r="C17" s="580" t="str">
        <f>Beiträge!D17</f>
        <v/>
      </c>
      <c r="D17" s="479"/>
      <c r="E17" s="479"/>
      <c r="F17" s="479"/>
    </row>
    <row r="18" spans="1:6" ht="13.8" thickTop="1" x14ac:dyDescent="0.25">
      <c r="A18" s="649"/>
      <c r="B18" s="651"/>
      <c r="C18" s="479"/>
      <c r="D18" s="479"/>
      <c r="E18" s="479"/>
      <c r="F18" s="479"/>
    </row>
    <row r="19" spans="1:6" x14ac:dyDescent="0.25">
      <c r="A19" s="30"/>
      <c r="B19" s="586"/>
      <c r="C19" s="127"/>
      <c r="D19" s="30"/>
      <c r="E19" s="30"/>
      <c r="F19" s="30"/>
    </row>
    <row r="20" spans="1:6" x14ac:dyDescent="0.25">
      <c r="A20" s="480" t="str">
        <f>Beiträge!B20</f>
        <v>Cerchio</v>
      </c>
      <c r="B20" s="480" t="str">
        <f>Beiträge!C20</f>
        <v>Numero piano</v>
      </c>
      <c r="C20" s="480" t="str">
        <f>Beiträge!D20</f>
        <v>Indice salario</v>
      </c>
      <c r="D20" s="579" t="str">
        <f>Beiträge!E20</f>
        <v/>
      </c>
      <c r="E20" s="579" t="str">
        <f>Beiträge!F20</f>
        <v/>
      </c>
      <c r="F20" s="579" t="str">
        <f>Beiträge!G20</f>
        <v>Età risparmio</v>
      </c>
    </row>
    <row r="21" spans="1:6" ht="13.8" thickBot="1" x14ac:dyDescent="0.3">
      <c r="A21" s="672">
        <f>Beiträge!B21</f>
        <v>0</v>
      </c>
      <c r="B21" s="674">
        <v>22011001</v>
      </c>
      <c r="C21" s="675">
        <f>Beiträge!D21</f>
        <v>0</v>
      </c>
      <c r="D21" s="675">
        <v>40</v>
      </c>
      <c r="E21" s="678"/>
      <c r="F21" s="675">
        <f>Beiträge!G21</f>
        <v>25</v>
      </c>
    </row>
    <row r="22" spans="1:6" ht="13.8" thickTop="1" x14ac:dyDescent="0.25">
      <c r="A22" s="649"/>
      <c r="B22" s="650"/>
      <c r="C22" s="650"/>
      <c r="D22" s="576"/>
      <c r="E22" s="576">
        <v>100</v>
      </c>
      <c r="F22" s="649"/>
    </row>
    <row r="23" spans="1:6" x14ac:dyDescent="0.25">
      <c r="A23" s="564" t="str">
        <f>Beiträge!B23</f>
        <v/>
      </c>
      <c r="B23" s="679">
        <f>Beiträge!C23</f>
        <v>60</v>
      </c>
      <c r="D23" s="565"/>
      <c r="E23" s="565"/>
      <c r="F23" s="565"/>
    </row>
    <row r="24" spans="1:6" x14ac:dyDescent="0.25">
      <c r="A24" s="565"/>
    </row>
    <row r="25" spans="1:6" x14ac:dyDescent="0.25">
      <c r="A25" s="480" t="str">
        <f>Beiträge!B25</f>
        <v>Salario annuale 2026 (fr.)</v>
      </c>
    </row>
    <row r="26" spans="1:6" x14ac:dyDescent="0.25">
      <c r="A26" s="676">
        <v>27235</v>
      </c>
    </row>
    <row r="27" spans="1:6" x14ac:dyDescent="0.25">
      <c r="A27" s="209"/>
    </row>
    <row r="28" spans="1:6" x14ac:dyDescent="0.25">
      <c r="A28" s="480" t="str">
        <f>Beiträge!B28</f>
        <v>Parte datore di lavoro (%)</v>
      </c>
    </row>
    <row r="29" spans="1:6" x14ac:dyDescent="0.25">
      <c r="A29" s="677">
        <f>Beiträge!B29</f>
        <v>50</v>
      </c>
      <c r="B29" s="582" t="str">
        <f>Beiträge!C29</f>
        <v/>
      </c>
    </row>
    <row r="30" spans="1:6" x14ac:dyDescent="0.25">
      <c r="A30" s="172"/>
      <c r="B30" s="570"/>
    </row>
  </sheetData>
  <sheetProtection algorithmName="SHA-512" hashValue="G/TFsTRb1lCgJV9S40n49bkGB2lOaM5h1kdg0QZEgLcRH9gTeMTLOMwiUPjqFupShpylDrWT9EvyQh3DaEFw8w==" saltValue="Bgxakw5ZCawe/o2zZF8sDw==" spinCount="100000" sheet="1" objects="1" scenarios="1"/>
  <mergeCells count="4">
    <mergeCell ref="A13:B13"/>
    <mergeCell ref="C13:D13"/>
    <mergeCell ref="A14:B14"/>
    <mergeCell ref="C14:D14"/>
  </mergeCells>
  <conditionalFormatting sqref="C14:D14">
    <cfRule type="expression" dxfId="31" priority="2" stopIfTrue="1">
      <formula>C13&lt;&gt;""</formula>
    </cfRule>
  </conditionalFormatting>
  <conditionalFormatting sqref="B23">
    <cfRule type="expression" dxfId="30" priority="3" stopIfTrue="1">
      <formula>$B$23=""</formula>
    </cfRule>
  </conditionalFormatting>
  <conditionalFormatting sqref="E21">
    <cfRule type="expression" dxfId="29" priority="5" stopIfTrue="1">
      <formula>$F$20=""</formula>
    </cfRule>
  </conditionalFormatting>
  <conditionalFormatting sqref="A18">
    <cfRule type="expression" dxfId="28" priority="6" stopIfTrue="1">
      <formula>$B$17&lt;&gt;""</formula>
    </cfRule>
  </conditionalFormatting>
  <conditionalFormatting sqref="B18">
    <cfRule type="expression" dxfId="27" priority="7" stopIfTrue="1">
      <formula>$C$17&lt;&gt;""</formula>
    </cfRule>
  </conditionalFormatting>
  <conditionalFormatting sqref="A22">
    <cfRule type="expression" dxfId="26" priority="8" stopIfTrue="1">
      <formula>$B$21&lt;&gt;""</formula>
    </cfRule>
  </conditionalFormatting>
  <conditionalFormatting sqref="B22">
    <cfRule type="expression" dxfId="25" priority="9" stopIfTrue="1">
      <formula>$C$21&lt;&gt;""</formula>
    </cfRule>
  </conditionalFormatting>
  <conditionalFormatting sqref="C22">
    <cfRule type="expression" dxfId="24" priority="10" stopIfTrue="1">
      <formula>$D$21&lt;&gt;""</formula>
    </cfRule>
  </conditionalFormatting>
  <conditionalFormatting sqref="D22">
    <cfRule type="expression" dxfId="23" priority="11" stopIfTrue="1">
      <formula>OR($E$20="",$E$21&lt;&gt;"")</formula>
    </cfRule>
  </conditionalFormatting>
  <conditionalFormatting sqref="E22">
    <cfRule type="expression" dxfId="22" priority="12" stopIfTrue="1">
      <formula>OR($F$20="",$F$21&lt;&gt;"")</formula>
    </cfRule>
  </conditionalFormatting>
  <conditionalFormatting sqref="B4:B9 A4:A7 A9">
    <cfRule type="expression" dxfId="21" priority="13" stopIfTrue="1">
      <formula>$B$26&lt;&gt;""</formula>
    </cfRule>
  </conditionalFormatting>
  <conditionalFormatting sqref="A14:B14">
    <cfRule type="expression" dxfId="20" priority="14" stopIfTrue="1">
      <formula>$B$13&lt;&gt;""</formula>
    </cfRule>
  </conditionalFormatting>
  <conditionalFormatting sqref="A8">
    <cfRule type="expression" dxfId="19" priority="15" stopIfTrue="1">
      <formula>$B$26&lt;&gt;""</formula>
    </cfRule>
  </conditionalFormatting>
  <conditionalFormatting sqref="F22">
    <cfRule type="expression" dxfId="18" priority="1" stopIfTrue="1">
      <formula>$G$21&lt;&gt;""</formula>
    </cfRule>
  </conditionalFormatting>
  <pageMargins left="0.51181102362204722" right="0.51181102362204722" top="0.78740157480314965" bottom="0.59055118110236227" header="0.31496062992125984" footer="0.31496062992125984"/>
  <pageSetup paperSize="9" scale="79"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9"/>
  <sheetViews>
    <sheetView workbookViewId="0">
      <selection activeCell="D39" sqref="D39"/>
    </sheetView>
  </sheetViews>
  <sheetFormatPr baseColWidth="10" defaultRowHeight="13.2" x14ac:dyDescent="0.25"/>
  <cols>
    <col min="1" max="3" width="43.33203125" customWidth="1"/>
  </cols>
  <sheetData>
    <row r="1" spans="1:3" ht="17.399999999999999" x14ac:dyDescent="0.3">
      <c r="A1" s="646" t="s">
        <v>561</v>
      </c>
    </row>
    <row r="4" spans="1:3" x14ac:dyDescent="0.25">
      <c r="A4" s="117">
        <v>1</v>
      </c>
      <c r="B4" s="117">
        <v>2</v>
      </c>
      <c r="C4" s="117">
        <v>3</v>
      </c>
    </row>
    <row r="5" spans="1:3" x14ac:dyDescent="0.25">
      <c r="A5" s="117" t="s">
        <v>589</v>
      </c>
      <c r="B5" s="117" t="s">
        <v>590</v>
      </c>
      <c r="C5" s="117" t="s">
        <v>591</v>
      </c>
    </row>
    <row r="6" spans="1:3" x14ac:dyDescent="0.25">
      <c r="A6" s="314" t="s">
        <v>562</v>
      </c>
      <c r="B6" s="314" t="s">
        <v>630</v>
      </c>
      <c r="C6" s="314" t="s">
        <v>563</v>
      </c>
    </row>
    <row r="7" spans="1:3" x14ac:dyDescent="0.25">
      <c r="A7" s="314" t="s">
        <v>242</v>
      </c>
      <c r="B7" s="314" t="s">
        <v>564</v>
      </c>
      <c r="C7" s="314" t="s">
        <v>565</v>
      </c>
    </row>
    <row r="8" spans="1:3" x14ac:dyDescent="0.25">
      <c r="A8" t="s">
        <v>512</v>
      </c>
      <c r="B8" s="314" t="s">
        <v>567</v>
      </c>
      <c r="C8" s="314" t="s">
        <v>566</v>
      </c>
    </row>
    <row r="9" spans="1:3" x14ac:dyDescent="0.25">
      <c r="A9" s="314" t="s">
        <v>495</v>
      </c>
      <c r="B9" s="314" t="s">
        <v>568</v>
      </c>
      <c r="C9" s="314" t="s">
        <v>569</v>
      </c>
    </row>
    <row r="10" spans="1:3" x14ac:dyDescent="0.25">
      <c r="A10" s="314" t="s">
        <v>496</v>
      </c>
      <c r="B10" s="314" t="s">
        <v>496</v>
      </c>
      <c r="C10" s="314" t="s">
        <v>570</v>
      </c>
    </row>
    <row r="11" spans="1:3" x14ac:dyDescent="0.25">
      <c r="A11" s="314" t="s">
        <v>30</v>
      </c>
      <c r="B11" s="314" t="s">
        <v>571</v>
      </c>
      <c r="C11" s="314" t="s">
        <v>573</v>
      </c>
    </row>
    <row r="12" spans="1:3" x14ac:dyDescent="0.25">
      <c r="A12" s="314" t="s">
        <v>213</v>
      </c>
      <c r="B12" s="314" t="s">
        <v>572</v>
      </c>
      <c r="C12" s="314" t="s">
        <v>574</v>
      </c>
    </row>
    <row r="13" spans="1:3" x14ac:dyDescent="0.25">
      <c r="A13" s="314" t="s">
        <v>497</v>
      </c>
      <c r="B13" s="314" t="s">
        <v>575</v>
      </c>
      <c r="C13" s="314" t="s">
        <v>577</v>
      </c>
    </row>
    <row r="14" spans="1:3" x14ac:dyDescent="0.25">
      <c r="A14" s="314" t="s">
        <v>511</v>
      </c>
      <c r="B14" s="314" t="s">
        <v>576</v>
      </c>
      <c r="C14" s="314" t="s">
        <v>578</v>
      </c>
    </row>
    <row r="15" spans="1:3" x14ac:dyDescent="0.25">
      <c r="A15" s="314" t="s">
        <v>3</v>
      </c>
      <c r="B15" s="314" t="s">
        <v>579</v>
      </c>
      <c r="C15" s="314" t="s">
        <v>581</v>
      </c>
    </row>
    <row r="16" spans="1:3" x14ac:dyDescent="0.25">
      <c r="A16" s="314" t="s">
        <v>232</v>
      </c>
      <c r="B16" s="314" t="s">
        <v>580</v>
      </c>
      <c r="C16" s="314" t="s">
        <v>582</v>
      </c>
    </row>
    <row r="17" spans="1:3" x14ac:dyDescent="0.25">
      <c r="A17" s="314" t="s">
        <v>264</v>
      </c>
      <c r="B17" s="314" t="s">
        <v>583</v>
      </c>
      <c r="C17" s="314" t="s">
        <v>610</v>
      </c>
    </row>
    <row r="18" spans="1:3" x14ac:dyDescent="0.25">
      <c r="A18" s="314" t="s">
        <v>468</v>
      </c>
      <c r="B18" s="314" t="s">
        <v>584</v>
      </c>
      <c r="C18" s="314" t="s">
        <v>611</v>
      </c>
    </row>
    <row r="19" spans="1:3" x14ac:dyDescent="0.25">
      <c r="A19" s="314" t="s">
        <v>420</v>
      </c>
      <c r="B19" s="314" t="s">
        <v>585</v>
      </c>
      <c r="C19" s="314" t="s">
        <v>612</v>
      </c>
    </row>
    <row r="20" spans="1:3" x14ac:dyDescent="0.25">
      <c r="A20" s="314" t="s">
        <v>586</v>
      </c>
      <c r="B20" s="314" t="s">
        <v>587</v>
      </c>
      <c r="C20" s="314" t="s">
        <v>613</v>
      </c>
    </row>
    <row r="21" spans="1:3" x14ac:dyDescent="0.25">
      <c r="A21" s="314" t="s">
        <v>509</v>
      </c>
      <c r="B21" s="314" t="s">
        <v>588</v>
      </c>
      <c r="C21" s="314" t="s">
        <v>614</v>
      </c>
    </row>
    <row r="22" spans="1:3" x14ac:dyDescent="0.25">
      <c r="A22" s="314" t="s">
        <v>650</v>
      </c>
      <c r="B22" s="314" t="s">
        <v>651</v>
      </c>
      <c r="C22" s="314" t="s">
        <v>652</v>
      </c>
    </row>
    <row r="23" spans="1:3" x14ac:dyDescent="0.25">
      <c r="A23" s="314" t="s">
        <v>631</v>
      </c>
      <c r="B23" s="314" t="s">
        <v>632</v>
      </c>
      <c r="C23" s="314" t="s">
        <v>633</v>
      </c>
    </row>
    <row r="24" spans="1:3" x14ac:dyDescent="0.25">
      <c r="A24" s="314" t="s">
        <v>241</v>
      </c>
      <c r="B24" s="314" t="s">
        <v>592</v>
      </c>
      <c r="C24" s="314" t="s">
        <v>615</v>
      </c>
    </row>
    <row r="25" spans="1:3" x14ac:dyDescent="0.25">
      <c r="A25" s="314" t="s">
        <v>593</v>
      </c>
      <c r="B25" s="314" t="s">
        <v>598</v>
      </c>
      <c r="C25" s="314" t="s">
        <v>616</v>
      </c>
    </row>
    <row r="26" spans="1:3" x14ac:dyDescent="0.25">
      <c r="A26" s="314" t="s">
        <v>594</v>
      </c>
      <c r="B26" s="314" t="s">
        <v>599</v>
      </c>
      <c r="C26" s="314" t="s">
        <v>617</v>
      </c>
    </row>
    <row r="27" spans="1:3" x14ac:dyDescent="0.25">
      <c r="A27" s="314" t="s">
        <v>595</v>
      </c>
      <c r="B27" s="314" t="s">
        <v>600</v>
      </c>
      <c r="C27" s="314" t="s">
        <v>618</v>
      </c>
    </row>
    <row r="28" spans="1:3" x14ac:dyDescent="0.25">
      <c r="A28" s="314" t="s">
        <v>596</v>
      </c>
      <c r="B28" s="314" t="s">
        <v>597</v>
      </c>
      <c r="C28" s="314" t="s">
        <v>619</v>
      </c>
    </row>
    <row r="29" spans="1:3" x14ac:dyDescent="0.25">
      <c r="A29" s="314" t="s">
        <v>243</v>
      </c>
      <c r="B29" s="314" t="s">
        <v>601</v>
      </c>
      <c r="C29" s="314" t="s">
        <v>620</v>
      </c>
    </row>
    <row r="30" spans="1:3" x14ac:dyDescent="0.25">
      <c r="A30" s="314" t="s">
        <v>244</v>
      </c>
      <c r="B30" s="314" t="s">
        <v>602</v>
      </c>
      <c r="C30" s="314" t="s">
        <v>621</v>
      </c>
    </row>
    <row r="31" spans="1:3" x14ac:dyDescent="0.25">
      <c r="A31" s="314" t="s">
        <v>239</v>
      </c>
      <c r="B31" s="314" t="s">
        <v>603</v>
      </c>
      <c r="C31" s="314" t="s">
        <v>622</v>
      </c>
    </row>
    <row r="32" spans="1:3" x14ac:dyDescent="0.25">
      <c r="A32" s="314" t="s">
        <v>269</v>
      </c>
      <c r="B32" s="314" t="s">
        <v>604</v>
      </c>
      <c r="C32" s="314" t="s">
        <v>623</v>
      </c>
    </row>
    <row r="33" spans="1:3" x14ac:dyDescent="0.25">
      <c r="A33" s="314" t="s">
        <v>60</v>
      </c>
      <c r="B33" s="314" t="s">
        <v>60</v>
      </c>
      <c r="C33" s="314" t="s">
        <v>624</v>
      </c>
    </row>
    <row r="34" spans="1:3" x14ac:dyDescent="0.25">
      <c r="A34" t="s">
        <v>396</v>
      </c>
      <c r="B34" s="314" t="s">
        <v>605</v>
      </c>
      <c r="C34" t="s">
        <v>625</v>
      </c>
    </row>
    <row r="35" spans="1:3" x14ac:dyDescent="0.25">
      <c r="A35" t="s">
        <v>397</v>
      </c>
      <c r="B35" s="314" t="s">
        <v>606</v>
      </c>
      <c r="C35" t="s">
        <v>626</v>
      </c>
    </row>
    <row r="36" spans="1:3" x14ac:dyDescent="0.25">
      <c r="A36" t="s">
        <v>240</v>
      </c>
      <c r="B36" s="314" t="s">
        <v>607</v>
      </c>
      <c r="C36" t="s">
        <v>627</v>
      </c>
    </row>
    <row r="37" spans="1:3" x14ac:dyDescent="0.25">
      <c r="A37" s="314" t="s">
        <v>245</v>
      </c>
      <c r="B37" s="314" t="s">
        <v>608</v>
      </c>
      <c r="C37" t="s">
        <v>628</v>
      </c>
    </row>
    <row r="38" spans="1:3" x14ac:dyDescent="0.25">
      <c r="A38" t="s">
        <v>524</v>
      </c>
      <c r="B38" s="314" t="s">
        <v>609</v>
      </c>
      <c r="C38" t="s">
        <v>629</v>
      </c>
    </row>
    <row r="39" spans="1:3" x14ac:dyDescent="0.25">
      <c r="A39" t="s">
        <v>667</v>
      </c>
      <c r="B39" s="700" t="s">
        <v>668</v>
      </c>
      <c r="C39" t="s">
        <v>669</v>
      </c>
    </row>
  </sheetData>
  <sheetProtection algorithmName="SHA-512" hashValue="ubS6zwMI+wuE2BKTaAFaUKuRNczlsfu6Jjo0WN1khxaynA5WVCTJhjZISLAevOv2khWUSHHnESF54EjNSoInDA==" saltValue="3VS1c8j/xc19JOiDV2beiA==" spinCount="100000"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sheetPr>
  <dimension ref="A1:W98"/>
  <sheetViews>
    <sheetView showGridLines="0" zoomScale="150" workbookViewId="0">
      <selection activeCell="E6" sqref="E6:G6"/>
    </sheetView>
  </sheetViews>
  <sheetFormatPr baseColWidth="10" defaultColWidth="10.109375" defaultRowHeight="15.75" customHeight="1" x14ac:dyDescent="0.25"/>
  <cols>
    <col min="1" max="1" width="6.33203125" style="55" customWidth="1"/>
    <col min="2" max="2" width="4.88671875" style="42" customWidth="1"/>
    <col min="3" max="3" width="0.6640625" style="43" customWidth="1"/>
    <col min="4" max="4" width="25.109375" style="42" customWidth="1"/>
    <col min="5" max="5" width="11.88671875" style="43" customWidth="1"/>
    <col min="6" max="6" width="12.44140625" style="43" customWidth="1"/>
    <col min="7" max="7" width="13.33203125" style="95" customWidth="1"/>
    <col min="8" max="8" width="17.5546875" style="43" customWidth="1"/>
    <col min="9" max="9" width="3.33203125" style="47" hidden="1" customWidth="1"/>
    <col min="10" max="10" width="9.33203125" style="102" hidden="1" customWidth="1"/>
    <col min="11" max="11" width="8.44140625" style="37" hidden="1" customWidth="1"/>
    <col min="12" max="12" width="5.44140625" style="36" hidden="1" customWidth="1"/>
    <col min="13" max="13" width="25.5546875" style="36" hidden="1" customWidth="1"/>
    <col min="14" max="14" width="10.44140625" style="235" hidden="1" customWidth="1"/>
    <col min="15" max="15" width="6.33203125" style="36" hidden="1" customWidth="1"/>
    <col min="16" max="16" width="6.6640625" style="38" hidden="1" customWidth="1"/>
    <col min="17" max="18" width="28.109375" style="38" hidden="1" customWidth="1"/>
    <col min="19" max="19" width="28.109375" style="109" hidden="1" customWidth="1"/>
    <col min="20" max="20" width="4.44140625" style="36" hidden="1" customWidth="1"/>
    <col min="21" max="21" width="3.109375" style="36" hidden="1" customWidth="1"/>
    <col min="22" max="22" width="4.6640625" style="35" hidden="1" customWidth="1"/>
    <col min="23" max="23" width="3.5546875" style="21" customWidth="1"/>
    <col min="24" max="16384" width="10.109375" style="21"/>
  </cols>
  <sheetData>
    <row r="1" spans="1:23" ht="50.25" customHeight="1" thickBot="1" x14ac:dyDescent="0.3">
      <c r="I1" s="218"/>
      <c r="K1" s="563">
        <f>YEAR(E14)-2014</f>
        <v>12</v>
      </c>
      <c r="L1" s="38"/>
      <c r="M1" s="38"/>
      <c r="N1" s="236"/>
      <c r="O1" s="38"/>
      <c r="T1" s="39">
        <v>18</v>
      </c>
      <c r="U1" s="39">
        <v>0</v>
      </c>
      <c r="V1" s="226"/>
      <c r="W1" s="35"/>
    </row>
    <row r="2" spans="1:23" ht="18" customHeight="1" thickBot="1" x14ac:dyDescent="0.35">
      <c r="A2" s="108" t="s">
        <v>493</v>
      </c>
      <c r="B2" s="43"/>
      <c r="D2" s="43"/>
      <c r="I2" s="218"/>
      <c r="K2" s="563">
        <f>Beiträge!J26</f>
        <v>126</v>
      </c>
      <c r="L2" s="541">
        <f>VLOOKUP(K2,T1:U86,2)</f>
        <v>8</v>
      </c>
      <c r="M2" s="38" t="s">
        <v>29</v>
      </c>
      <c r="N2" s="236"/>
      <c r="O2" s="38"/>
      <c r="T2" s="39">
        <v>19</v>
      </c>
      <c r="U2" s="39">
        <v>0</v>
      </c>
    </row>
    <row r="3" spans="1:23" ht="15.75" customHeight="1" x14ac:dyDescent="0.25">
      <c r="B3" s="40"/>
      <c r="C3" s="41"/>
      <c r="I3" s="218"/>
      <c r="J3" s="113" t="str">
        <f>IF(E6="","",CONCATENATE(E6," "))</f>
        <v/>
      </c>
      <c r="K3" s="531">
        <f>IF(Beiträge!B17="F",2,1)</f>
        <v>1</v>
      </c>
      <c r="L3" s="542">
        <v>1</v>
      </c>
      <c r="M3" s="38" t="s">
        <v>110</v>
      </c>
      <c r="N3" s="237"/>
      <c r="O3" s="100"/>
      <c r="P3" s="100"/>
      <c r="Q3" s="100"/>
      <c r="R3" s="100"/>
      <c r="S3" s="110"/>
      <c r="T3" s="39">
        <v>20</v>
      </c>
      <c r="U3" s="39">
        <v>1</v>
      </c>
    </row>
    <row r="4" spans="1:23" ht="15.75" customHeight="1" thickBot="1" x14ac:dyDescent="0.3">
      <c r="A4" s="55" t="s">
        <v>10</v>
      </c>
      <c r="B4" s="330" t="s">
        <v>156</v>
      </c>
      <c r="C4" s="331"/>
      <c r="D4" s="332"/>
      <c r="E4" s="495"/>
      <c r="F4" s="495"/>
      <c r="G4" s="495"/>
      <c r="H4" s="495"/>
      <c r="I4" s="223"/>
      <c r="J4" s="345"/>
      <c r="K4" s="581" t="s">
        <v>498</v>
      </c>
      <c r="L4" s="543">
        <v>2</v>
      </c>
      <c r="M4" s="38" t="s">
        <v>111</v>
      </c>
      <c r="N4" s="237"/>
      <c r="O4" s="100"/>
      <c r="P4" s="100"/>
      <c r="Q4" s="100"/>
      <c r="R4" s="100"/>
      <c r="S4" s="110"/>
      <c r="T4" s="39">
        <v>21</v>
      </c>
      <c r="U4" s="39">
        <v>1</v>
      </c>
    </row>
    <row r="5" spans="1:23" ht="15.75" customHeight="1" thickBot="1" x14ac:dyDescent="0.3">
      <c r="I5" s="218"/>
      <c r="J5" s="345" t="e">
        <f>CONCATENATE(J7," / ",J8)</f>
        <v>#VALUE!</v>
      </c>
      <c r="K5" s="531">
        <v>1</v>
      </c>
      <c r="L5" s="542">
        <v>1</v>
      </c>
      <c r="M5" s="38" t="str">
        <f>IF(K3=1,"Arbeitnehmer","Arbeitnehmerin")</f>
        <v>Arbeitnehmer</v>
      </c>
      <c r="N5" s="237">
        <v>0</v>
      </c>
      <c r="O5" s="100" t="s">
        <v>269</v>
      </c>
      <c r="P5" s="100"/>
      <c r="Q5" s="100" t="s">
        <v>311</v>
      </c>
      <c r="R5" s="100"/>
      <c r="S5" s="110"/>
      <c r="T5" s="39">
        <v>22</v>
      </c>
      <c r="U5" s="39">
        <v>1</v>
      </c>
    </row>
    <row r="6" spans="1:23" ht="15.75" customHeight="1" thickTop="1" thickBot="1" x14ac:dyDescent="0.3">
      <c r="A6" s="227" t="s">
        <v>316</v>
      </c>
      <c r="B6" s="44" t="s">
        <v>219</v>
      </c>
      <c r="C6" s="45"/>
      <c r="D6" s="44"/>
      <c r="E6" s="712"/>
      <c r="F6" s="712"/>
      <c r="G6" s="712"/>
      <c r="I6" s="218"/>
      <c r="J6" s="560" t="e">
        <f>CONCATENATE(VLOOKUP(K9,L9:N13,3),"/",VLOOKUP(K14,L14:N15,3),"/",VLOOKUP(K17,L17:N19,3))</f>
        <v>#N/A</v>
      </c>
      <c r="K6" s="562">
        <f>IF(K5=2,1,IF(K5=3,2,IF(K5=4,3,1)))</f>
        <v>1</v>
      </c>
      <c r="L6" s="544">
        <v>2</v>
      </c>
      <c r="M6" s="38" t="s">
        <v>300</v>
      </c>
      <c r="N6" s="237">
        <v>0</v>
      </c>
      <c r="O6" s="100" t="s">
        <v>426</v>
      </c>
      <c r="P6" s="100"/>
      <c r="Q6" s="100" t="s">
        <v>311</v>
      </c>
      <c r="R6" s="100"/>
      <c r="S6" s="110"/>
      <c r="T6" s="39">
        <v>23</v>
      </c>
      <c r="U6" s="39">
        <v>1</v>
      </c>
      <c r="W6" s="421"/>
    </row>
    <row r="7" spans="1:23" ht="15.75" customHeight="1" thickTop="1" x14ac:dyDescent="0.25">
      <c r="A7" s="227" t="s">
        <v>317</v>
      </c>
      <c r="B7" s="44" t="s">
        <v>214</v>
      </c>
      <c r="C7" s="45"/>
      <c r="D7" s="44"/>
      <c r="E7" s="712"/>
      <c r="F7" s="712"/>
      <c r="I7" s="218"/>
      <c r="J7" s="345" t="e">
        <f>VLOOKUP(K39,L39:Q52,6)</f>
        <v>#VALUE!</v>
      </c>
      <c r="L7" s="544">
        <v>3</v>
      </c>
      <c r="M7" s="38" t="s">
        <v>301</v>
      </c>
      <c r="N7" s="237">
        <v>5</v>
      </c>
      <c r="O7" s="100" t="s">
        <v>444</v>
      </c>
      <c r="P7" s="100"/>
      <c r="Q7" s="100" t="s">
        <v>312</v>
      </c>
      <c r="R7" s="100"/>
      <c r="S7" s="110"/>
      <c r="T7" s="39">
        <v>24</v>
      </c>
      <c r="U7" s="39">
        <v>1</v>
      </c>
      <c r="W7" s="421"/>
    </row>
    <row r="8" spans="1:23" ht="15.75" customHeight="1" thickBot="1" x14ac:dyDescent="0.3">
      <c r="A8" s="227" t="s">
        <v>318</v>
      </c>
      <c r="B8" s="44" t="s">
        <v>30</v>
      </c>
      <c r="C8" s="45"/>
      <c r="D8" s="44"/>
      <c r="E8" s="712"/>
      <c r="F8" s="712"/>
      <c r="G8" s="496"/>
      <c r="H8" s="76"/>
      <c r="I8" s="219"/>
      <c r="J8" s="345" t="e">
        <f>VLOOKUP(K55,L55:P60,5)</f>
        <v>#VALUE!</v>
      </c>
      <c r="L8" s="543">
        <v>4</v>
      </c>
      <c r="M8" s="38" t="s">
        <v>302</v>
      </c>
      <c r="N8" s="237">
        <v>5</v>
      </c>
      <c r="O8" s="100" t="s">
        <v>445</v>
      </c>
      <c r="P8" s="100"/>
      <c r="Q8" s="100" t="s">
        <v>314</v>
      </c>
      <c r="R8" s="100"/>
      <c r="S8" s="110"/>
      <c r="T8" s="39">
        <v>25</v>
      </c>
      <c r="U8" s="39">
        <v>2</v>
      </c>
      <c r="W8" s="421"/>
    </row>
    <row r="9" spans="1:23" ht="15.75" customHeight="1" x14ac:dyDescent="0.2">
      <c r="A9" s="227" t="s">
        <v>319</v>
      </c>
      <c r="B9" s="44" t="s">
        <v>213</v>
      </c>
      <c r="C9" s="45"/>
      <c r="D9" s="44"/>
      <c r="E9" s="712"/>
      <c r="F9" s="712"/>
      <c r="G9" s="496"/>
      <c r="H9" s="76"/>
      <c r="I9" s="219"/>
      <c r="J9" s="561">
        <f>MONTH(E11)</f>
        <v>1</v>
      </c>
      <c r="K9" s="532">
        <f>Code!A28</f>
        <v>0</v>
      </c>
      <c r="L9" s="545">
        <v>1</v>
      </c>
      <c r="M9" s="38" t="s">
        <v>162</v>
      </c>
      <c r="N9" s="236" t="s">
        <v>25</v>
      </c>
      <c r="O9" s="38"/>
      <c r="Q9" s="31" t="s">
        <v>272</v>
      </c>
      <c r="R9" s="31"/>
      <c r="S9" s="546" t="s">
        <v>25</v>
      </c>
      <c r="T9" s="39">
        <v>26</v>
      </c>
      <c r="U9" s="39">
        <v>2</v>
      </c>
      <c r="W9" s="421"/>
    </row>
    <row r="10" spans="1:23" ht="15.75" customHeight="1" x14ac:dyDescent="0.2">
      <c r="A10" s="227" t="s">
        <v>320</v>
      </c>
      <c r="B10" s="44" t="s">
        <v>31</v>
      </c>
      <c r="C10" s="45"/>
      <c r="D10" s="44"/>
      <c r="E10" s="712"/>
      <c r="F10" s="712"/>
      <c r="G10" s="497"/>
      <c r="H10" s="498"/>
      <c r="I10" s="220"/>
      <c r="J10" s="101">
        <f>YEAR(E11)</f>
        <v>1900</v>
      </c>
      <c r="L10" s="547">
        <v>2</v>
      </c>
      <c r="M10" s="38" t="s">
        <v>163</v>
      </c>
      <c r="N10" s="236" t="s">
        <v>26</v>
      </c>
      <c r="O10" s="38"/>
      <c r="Q10" s="31" t="s">
        <v>271</v>
      </c>
      <c r="R10" s="31" t="str">
        <f>CONCATENATE("Koordinationsabzug versichert (gewählter Beschäftigungsgrad: ",E22*100,"%).")</f>
        <v>Koordinationsabzug versichert (gewählter Beschäftigungsgrad: 60%).</v>
      </c>
      <c r="S10" s="546" t="s">
        <v>26</v>
      </c>
      <c r="T10" s="39">
        <v>27</v>
      </c>
      <c r="U10" s="39">
        <v>2</v>
      </c>
      <c r="W10" s="421"/>
    </row>
    <row r="11" spans="1:23" ht="15.75" customHeight="1" x14ac:dyDescent="0.2">
      <c r="A11" s="227" t="s">
        <v>321</v>
      </c>
      <c r="B11" s="44" t="s">
        <v>112</v>
      </c>
      <c r="C11" s="45"/>
      <c r="D11" s="44"/>
      <c r="E11" s="529">
        <f>Beiträge!C17</f>
        <v>0</v>
      </c>
      <c r="F11" s="45">
        <f>K2</f>
        <v>126</v>
      </c>
      <c r="G11" s="500" t="str">
        <f>IF(F11&lt;18,"   &lt;18!",IF(AND(Input!F11&gt;65,Input!K3=1),"   &gt;65!",(IF(AND(Input!F11&gt;64,Input!K3=2),"   &gt;64!",""))))</f>
        <v xml:space="preserve">   &gt;65!</v>
      </c>
      <c r="H11" s="501"/>
      <c r="I11" s="221"/>
      <c r="L11" s="547">
        <v>3</v>
      </c>
      <c r="M11" s="38" t="s">
        <v>161</v>
      </c>
      <c r="N11" s="236" t="s">
        <v>27</v>
      </c>
      <c r="O11" s="38"/>
      <c r="Q11" s="31" t="s">
        <v>273</v>
      </c>
      <c r="R11" s="31" t="s">
        <v>220</v>
      </c>
      <c r="S11" s="546" t="s">
        <v>27</v>
      </c>
      <c r="T11" s="39">
        <v>28</v>
      </c>
      <c r="U11" s="39">
        <v>2</v>
      </c>
      <c r="W11" s="421"/>
    </row>
    <row r="12" spans="1:23" ht="15.75" customHeight="1" x14ac:dyDescent="0.2">
      <c r="A12" s="227" t="s">
        <v>322</v>
      </c>
      <c r="B12" s="44" t="s">
        <v>3</v>
      </c>
      <c r="C12" s="45"/>
      <c r="D12" s="44"/>
      <c r="E12" s="502"/>
      <c r="F12" s="47"/>
      <c r="G12" s="205"/>
      <c r="H12" s="501"/>
      <c r="I12" s="221"/>
      <c r="L12" s="547">
        <v>4</v>
      </c>
      <c r="M12" s="38" t="s">
        <v>160</v>
      </c>
      <c r="N12" s="236" t="s">
        <v>28</v>
      </c>
      <c r="O12" s="38"/>
      <c r="Q12" s="31" t="s">
        <v>274</v>
      </c>
      <c r="R12" s="31"/>
      <c r="S12" s="546" t="s">
        <v>28</v>
      </c>
      <c r="T12" s="39">
        <v>29</v>
      </c>
      <c r="U12" s="39">
        <v>2</v>
      </c>
    </row>
    <row r="13" spans="1:23" ht="15.75" customHeight="1" x14ac:dyDescent="0.2">
      <c r="A13" s="227" t="s">
        <v>323</v>
      </c>
      <c r="B13" s="44" t="s">
        <v>143</v>
      </c>
      <c r="C13" s="45"/>
      <c r="D13" s="44"/>
      <c r="E13" s="45"/>
      <c r="G13" s="118"/>
      <c r="H13" s="503"/>
      <c r="I13" s="222"/>
      <c r="J13" s="354">
        <f>E14</f>
        <v>46023</v>
      </c>
      <c r="L13" s="547">
        <v>5</v>
      </c>
      <c r="M13" s="38" t="s">
        <v>281</v>
      </c>
      <c r="N13" s="236" t="s">
        <v>282</v>
      </c>
      <c r="O13" s="38"/>
      <c r="Q13" s="31" t="s">
        <v>283</v>
      </c>
      <c r="R13" s="31"/>
      <c r="S13" s="546" t="s">
        <v>282</v>
      </c>
      <c r="T13" s="39">
        <v>30</v>
      </c>
      <c r="U13" s="39">
        <v>2</v>
      </c>
    </row>
    <row r="14" spans="1:23" ht="15.75" customHeight="1" x14ac:dyDescent="0.2">
      <c r="A14" s="227" t="s">
        <v>212</v>
      </c>
      <c r="B14" s="44" t="s">
        <v>285</v>
      </c>
      <c r="C14" s="45"/>
      <c r="D14" s="44"/>
      <c r="E14" s="499">
        <f>Beiträge!K28</f>
        <v>46023</v>
      </c>
      <c r="F14" s="76" t="str">
        <f>IF(E14&lt;40909,"nicht vor 1.1.2012",IF(E14="","",IF(DAY(E14)&lt;&gt;1,"  nur Monatserster!","")))</f>
        <v/>
      </c>
      <c r="G14" s="118"/>
      <c r="H14" s="504"/>
      <c r="I14" s="222"/>
      <c r="K14" s="532" t="e">
        <f>Code!B29</f>
        <v>#VALUE!</v>
      </c>
      <c r="L14" s="547">
        <v>1</v>
      </c>
      <c r="M14" s="38" t="e">
        <f>CONCATENATE("gemäss BVG (",TEXT(VLOOKUP(1,'Tabellen B'!V5:AD12,K1),"#'###")," Fr.)")</f>
        <v>#REF!</v>
      </c>
      <c r="N14" s="236" t="s">
        <v>70</v>
      </c>
      <c r="O14" s="38"/>
      <c r="Q14" s="31" t="e">
        <f>CONCATENATE("Die gewählte Eintrittsschwelle liegt bei ",TEXT(VLOOKUP(1,'Tabellen B'!V5:AD12,Input!K1+1),"#'###")," Franken. ")</f>
        <v>#REF!</v>
      </c>
      <c r="R14" s="31"/>
      <c r="S14" s="109" t="s">
        <v>138</v>
      </c>
      <c r="T14" s="39">
        <v>31</v>
      </c>
      <c r="U14" s="39">
        <v>2</v>
      </c>
      <c r="W14" s="421"/>
    </row>
    <row r="15" spans="1:23" ht="15.75" customHeight="1" x14ac:dyDescent="0.25">
      <c r="B15" s="46"/>
      <c r="C15" s="47"/>
      <c r="D15" s="46"/>
      <c r="E15" s="47"/>
      <c r="G15" s="353"/>
      <c r="I15" s="218"/>
      <c r="L15" s="547">
        <v>2</v>
      </c>
      <c r="M15" s="548" t="s">
        <v>446</v>
      </c>
      <c r="N15" s="549" t="s">
        <v>98</v>
      </c>
      <c r="O15" s="38"/>
      <c r="Q15" s="38" t="s">
        <v>556</v>
      </c>
      <c r="S15" s="109" t="s">
        <v>137</v>
      </c>
      <c r="T15" s="39">
        <v>32</v>
      </c>
      <c r="U15" s="39">
        <v>2</v>
      </c>
    </row>
    <row r="16" spans="1:23" ht="15.75" customHeight="1" x14ac:dyDescent="0.25">
      <c r="A16" s="55" t="s">
        <v>276</v>
      </c>
      <c r="B16" s="330" t="s">
        <v>131</v>
      </c>
      <c r="C16" s="330"/>
      <c r="D16" s="333"/>
      <c r="E16" s="66"/>
      <c r="F16" s="66"/>
      <c r="G16" s="66"/>
      <c r="H16" s="505" t="str">
        <f>IF(YEAR(E14)&gt;2016,"provisorische Grenzwerte","")</f>
        <v>provisorische Grenzwerte</v>
      </c>
      <c r="I16" s="225"/>
      <c r="L16" s="547">
        <v>3</v>
      </c>
      <c r="M16" s="548" t="e">
        <f>CONCATENATE("gemäss BVG (",TEXT(VLOOKUP(1,'Tabellen B'!V5:AD12,K1),"#'###")," Fr.) - bei L2")</f>
        <v>#REF!</v>
      </c>
      <c r="N16" s="549" t="s">
        <v>70</v>
      </c>
      <c r="O16" s="38"/>
      <c r="Q16" s="38" t="e">
        <f>CONCATENATE("Die gewählte Eintrittsschwelle liegt bei ",TEXT(VLOOKUP(1,'Tabellen B'!V5:AD12,Input!K1+1),"#'###")," Franken. ")</f>
        <v>#REF!</v>
      </c>
      <c r="S16" s="109" t="s">
        <v>138</v>
      </c>
      <c r="T16" s="39">
        <v>33</v>
      </c>
      <c r="U16" s="39">
        <v>2</v>
      </c>
    </row>
    <row r="17" spans="1:23" ht="15.75" customHeight="1" x14ac:dyDescent="0.2">
      <c r="I17" s="218"/>
      <c r="K17" s="532" t="e">
        <f>Code!C30</f>
        <v>#VALUE!</v>
      </c>
      <c r="L17" s="547">
        <v>1</v>
      </c>
      <c r="M17" s="548" t="e">
        <f>CONCATENATE("gemäss BVG (",TEXT(VLOOKUP(6,'Tabellen B'!V5:AD12,K1),"#'###")," Fr.)")</f>
        <v>#REF!</v>
      </c>
      <c r="N17" s="549" t="s">
        <v>70</v>
      </c>
      <c r="O17" s="38"/>
      <c r="Q17" s="31" t="e">
        <f>CONCATENATE("Versichert sind gemäss Wahl maximal ",TEXT(VLOOKUP(6,'Tabellen B'!V5:AD12,Input!K1+1),"#'##0")," Franken.")</f>
        <v>#REF!</v>
      </c>
      <c r="R17" s="31"/>
      <c r="S17" s="109" t="s">
        <v>70</v>
      </c>
      <c r="T17" s="39">
        <v>34</v>
      </c>
      <c r="U17" s="39">
        <v>2</v>
      </c>
    </row>
    <row r="18" spans="1:23" ht="15.75" customHeight="1" x14ac:dyDescent="0.25">
      <c r="A18" s="227" t="s">
        <v>324</v>
      </c>
      <c r="B18" s="44" t="s">
        <v>96</v>
      </c>
      <c r="C18" s="45"/>
      <c r="D18" s="44"/>
      <c r="E18" s="530">
        <f>Beiträge!B26</f>
        <v>0</v>
      </c>
      <c r="F18" s="506"/>
      <c r="H18" s="507"/>
      <c r="I18" s="218"/>
      <c r="J18" s="478" t="e">
        <f>VLOOKUP(1,'Tabellen B'!V5:AD5,'Tabellen B'!V4-2014)</f>
        <v>#REF!</v>
      </c>
      <c r="L18" s="547">
        <v>2</v>
      </c>
      <c r="M18" s="548" t="e">
        <f>CONCATENATE("gemäss UVG (",TEXT(VLOOKUP(8,'Tabellen B'!V5:AD12,K1),"#'###")," Fr.)")</f>
        <v>#REF!</v>
      </c>
      <c r="N18" s="550" t="s">
        <v>139</v>
      </c>
      <c r="O18" s="38"/>
      <c r="Q18" s="38" t="e">
        <f>CONCATENATE("Versichert sind gemäss Wahl maximal ",TEXT(VLOOKUP(8,'Tabellen B'!V5:AD12,Input!K1+1),"#'##0")," Franken.")</f>
        <v>#REF!</v>
      </c>
      <c r="S18" s="109" t="s">
        <v>139</v>
      </c>
      <c r="T18" s="39">
        <v>35</v>
      </c>
      <c r="U18" s="39">
        <v>3</v>
      </c>
      <c r="W18" s="421"/>
    </row>
    <row r="19" spans="1:23" ht="15.75" customHeight="1" x14ac:dyDescent="0.25">
      <c r="A19" s="227" t="s">
        <v>325</v>
      </c>
      <c r="B19" s="343" t="s">
        <v>22</v>
      </c>
      <c r="C19" s="45"/>
      <c r="D19" s="45" t="s">
        <v>97</v>
      </c>
      <c r="H19" s="508"/>
      <c r="I19" s="218"/>
      <c r="L19" s="547">
        <v>3</v>
      </c>
      <c r="M19" s="548" t="s">
        <v>211</v>
      </c>
      <c r="N19" s="550" t="s">
        <v>98</v>
      </c>
      <c r="O19" s="38"/>
      <c r="Q19" s="38" t="s">
        <v>132</v>
      </c>
      <c r="S19" s="109" t="s">
        <v>98</v>
      </c>
      <c r="T19" s="39">
        <v>36</v>
      </c>
      <c r="U19" s="39">
        <v>3</v>
      </c>
    </row>
    <row r="20" spans="1:23" ht="15.75" customHeight="1" x14ac:dyDescent="0.25">
      <c r="A20" s="227" t="s">
        <v>326</v>
      </c>
      <c r="B20" s="45" t="s">
        <v>113</v>
      </c>
      <c r="C20" s="45"/>
      <c r="D20" s="45"/>
      <c r="F20" s="48"/>
      <c r="G20" s="509" t="str">
        <f>IF(K9=5," Keine Wahl; immer 1/2 Koordinationsabzug!","")</f>
        <v/>
      </c>
      <c r="H20" s="507"/>
      <c r="I20" s="218"/>
      <c r="L20" s="547">
        <v>4</v>
      </c>
      <c r="M20" s="548" t="e">
        <f>CONCATENATE("gemäss SIFO (",TEXT(VLOOKUP(9,'Tabellen B'!V5:AD13,K1),"#'###")," Fr.)")</f>
        <v>#REF!</v>
      </c>
      <c r="N20" s="550" t="s">
        <v>555</v>
      </c>
      <c r="O20" s="38"/>
      <c r="Q20" s="38" t="e">
        <f>CONCATENATE("Versichert sind gemäss Wahl maximal ",TEXT(VLOOKUP(9,'Tabellen B'!V5:AD13,Input!K1+1),"#'##0")," Franken.")</f>
        <v>#REF!</v>
      </c>
      <c r="S20" s="109" t="s">
        <v>552</v>
      </c>
      <c r="T20" s="39">
        <v>37</v>
      </c>
      <c r="U20" s="39">
        <v>3</v>
      </c>
    </row>
    <row r="21" spans="1:23" ht="15.75" customHeight="1" x14ac:dyDescent="0.25">
      <c r="A21" s="227" t="s">
        <v>327</v>
      </c>
      <c r="B21" s="45" t="s">
        <v>140</v>
      </c>
      <c r="C21" s="45"/>
      <c r="D21" s="45"/>
      <c r="G21" s="509" t="str">
        <f>IF(K9=5," Keine Wahl; immer ohne Plafond!","")</f>
        <v/>
      </c>
      <c r="H21" s="508"/>
      <c r="I21" s="218"/>
      <c r="L21" s="547">
        <v>5</v>
      </c>
      <c r="M21" s="548" t="e">
        <f>CONCATENATE("300% AHVmax (",TEXT(VLOOKUP(5,'Tabellen B'!V5:AD13,K1),"#'###")," Fr.)")</f>
        <v>#REF!</v>
      </c>
      <c r="N21" s="550" t="s">
        <v>553</v>
      </c>
      <c r="O21" s="38"/>
      <c r="Q21" s="38" t="e">
        <f>CONCATENATE("Versichert sind gemäss Wahl maximal ",TEXT(VLOOKUP(5,'Tabellen B'!V5:AD13,Input!K1+1),"#'##0")," Franken.")</f>
        <v>#REF!</v>
      </c>
      <c r="S21" s="109" t="s">
        <v>550</v>
      </c>
      <c r="T21" s="39">
        <v>38</v>
      </c>
      <c r="U21" s="39">
        <v>3</v>
      </c>
    </row>
    <row r="22" spans="1:23" ht="15.75" customHeight="1" x14ac:dyDescent="0.25">
      <c r="A22" s="227" t="str">
        <f>IF(K9=2,"B.5","")</f>
        <v/>
      </c>
      <c r="B22" s="49" t="str">
        <f>IF(K9=2,"Beschäftigungsgrad","")</f>
        <v/>
      </c>
      <c r="C22" s="49"/>
      <c r="D22" s="49"/>
      <c r="E22" s="533">
        <f>Beiträge!C23/100</f>
        <v>0.6</v>
      </c>
      <c r="G22" s="64"/>
      <c r="H22" s="507"/>
      <c r="I22" s="218"/>
      <c r="L22" s="547">
        <v>6</v>
      </c>
      <c r="M22" s="548" t="s">
        <v>646</v>
      </c>
      <c r="N22" s="550" t="s">
        <v>647</v>
      </c>
      <c r="O22" s="38"/>
      <c r="T22" s="39">
        <v>39</v>
      </c>
      <c r="U22" s="39">
        <v>3</v>
      </c>
    </row>
    <row r="23" spans="1:23" ht="15.75" customHeight="1" thickBot="1" x14ac:dyDescent="0.3">
      <c r="A23" s="227"/>
      <c r="B23" s="52" t="s">
        <v>23</v>
      </c>
      <c r="C23" s="52"/>
      <c r="D23" s="52"/>
      <c r="E23" s="351" t="e">
        <f>IF(OR(K9=2,K9=5),VLOOKUP(Beiträge!D21,'Tabellen B'!A40:B61,2,FALSE),IF(AND(K14=1,K17=1),VLOOKUP(K9,'Tabellen B'!B6:P10,9),IF(AND(K14=1,K17=2),VLOOKUP(K9,'Tabellen B'!B6:P10,10),IF(AND(K14=1,K17=3),VLOOKUP(K9,'Tabellen B'!B6:P10,11),IF(AND(K14=1,K17=4),VLOOKUP(K9,'Tabellen B'!B6:P10,12),IF(AND(K14=1,K17=5),VLOOKUP(K9,'Tabellen B'!B6:P10,13),IF(AND(K14=1,K17=6),VLOOKUP(K9,'Tabellen B'!B6:P10,14),IF(AND(K14=1,K17=7),VLOOKUP(K9,'Tabellen B'!B6:P10,15),IF(AND(K14=2,K17=1),VLOOKUP(K9,'Tabellen B'!B6:P10,2),IF(AND(K14=2,K17=2),VLOOKUP(K9,'Tabellen B'!B6:P10,3),IF(AND(K14=2,K17=3),VLOOKUP(K9,'Tabellen B'!B6:P10,4),IF(AND(K14=2,K17=4),VLOOKUP(K9,'Tabellen B'!B6:P10,5),IF(AND(K14=2,K17=5),VLOOKUP(K9,'Tabellen B'!B6:P10,6),IF(AND(K14=2,K17=6),VLOOKUP(K9,'Tabellen B'!B6:P10,7),IF(AND(K14=2,K17=7),VLOOKUP(K9,'Tabellen B'!B6:P10,8),"Fehler")))))))))))))))</f>
        <v>#VALUE!</v>
      </c>
      <c r="F23" s="51"/>
      <c r="G23" s="96"/>
      <c r="H23" s="508"/>
      <c r="I23" s="218"/>
      <c r="L23" s="547">
        <v>7</v>
      </c>
      <c r="M23" s="548" t="s">
        <v>648</v>
      </c>
      <c r="N23" s="550" t="s">
        <v>649</v>
      </c>
      <c r="O23" s="38"/>
      <c r="T23" s="39">
        <v>40</v>
      </c>
      <c r="U23" s="39">
        <v>4</v>
      </c>
    </row>
    <row r="24" spans="1:23" ht="15.75" customHeight="1" x14ac:dyDescent="0.25">
      <c r="B24" s="47"/>
      <c r="C24" s="47"/>
      <c r="D24" s="47"/>
      <c r="E24" s="50"/>
      <c r="F24" s="51"/>
      <c r="G24" s="96"/>
      <c r="I24" s="218"/>
      <c r="K24" s="532" t="e">
        <f>Code!M7</f>
        <v>#VALUE!</v>
      </c>
      <c r="L24" s="545">
        <v>1</v>
      </c>
      <c r="M24" s="38" t="s">
        <v>164</v>
      </c>
      <c r="N24" s="236">
        <v>1</v>
      </c>
      <c r="O24" s="38"/>
      <c r="Q24" s="38" t="s">
        <v>224</v>
      </c>
      <c r="S24" s="109" t="s">
        <v>4</v>
      </c>
      <c r="T24" s="39">
        <v>41</v>
      </c>
      <c r="U24" s="39">
        <v>4</v>
      </c>
    </row>
    <row r="25" spans="1:23" ht="15.75" customHeight="1" x14ac:dyDescent="0.25">
      <c r="A25" s="55" t="s">
        <v>277</v>
      </c>
      <c r="B25" s="330" t="s">
        <v>159</v>
      </c>
      <c r="C25" s="331"/>
      <c r="D25" s="332"/>
      <c r="E25" s="495"/>
      <c r="F25" s="495"/>
      <c r="G25" s="495"/>
      <c r="H25" s="495"/>
      <c r="I25" s="223"/>
      <c r="L25" s="547">
        <v>2</v>
      </c>
      <c r="M25" s="38" t="s">
        <v>165</v>
      </c>
      <c r="N25" s="236">
        <v>2</v>
      </c>
      <c r="O25" s="38"/>
      <c r="Q25" s="38" t="s">
        <v>225</v>
      </c>
      <c r="S25" s="109" t="s">
        <v>5</v>
      </c>
      <c r="T25" s="39">
        <v>42</v>
      </c>
      <c r="U25" s="39">
        <v>4</v>
      </c>
    </row>
    <row r="26" spans="1:23" ht="15.75" customHeight="1" x14ac:dyDescent="0.25">
      <c r="I26" s="218"/>
      <c r="L26" s="547">
        <v>3</v>
      </c>
      <c r="M26" s="38" t="s">
        <v>166</v>
      </c>
      <c r="N26" s="236">
        <v>3</v>
      </c>
      <c r="O26" s="38"/>
      <c r="Q26" s="38" t="s">
        <v>226</v>
      </c>
      <c r="S26" s="109" t="s">
        <v>6</v>
      </c>
      <c r="T26" s="39">
        <v>43</v>
      </c>
      <c r="U26" s="39">
        <v>4</v>
      </c>
    </row>
    <row r="27" spans="1:23" ht="15.75" customHeight="1" x14ac:dyDescent="0.25">
      <c r="A27" s="227" t="s">
        <v>328</v>
      </c>
      <c r="B27" s="45" t="s">
        <v>10</v>
      </c>
      <c r="C27" s="45"/>
      <c r="D27" s="45" t="s">
        <v>9</v>
      </c>
      <c r="I27" s="218"/>
      <c r="L27" s="547">
        <v>4</v>
      </c>
      <c r="M27" s="38" t="s">
        <v>167</v>
      </c>
      <c r="N27" s="236">
        <v>4</v>
      </c>
      <c r="O27" s="38"/>
      <c r="Q27" s="38" t="s">
        <v>227</v>
      </c>
      <c r="S27" s="109" t="s">
        <v>7</v>
      </c>
      <c r="T27" s="39">
        <v>44</v>
      </c>
      <c r="U27" s="39">
        <v>4</v>
      </c>
    </row>
    <row r="28" spans="1:23" ht="15.75" customHeight="1" x14ac:dyDescent="0.25">
      <c r="A28" s="227" t="s">
        <v>329</v>
      </c>
      <c r="B28" s="45" t="s">
        <v>11</v>
      </c>
      <c r="C28" s="45"/>
      <c r="D28" s="45" t="s">
        <v>12</v>
      </c>
      <c r="I28" s="218"/>
      <c r="L28" s="547">
        <v>5</v>
      </c>
      <c r="M28" s="38" t="s">
        <v>168</v>
      </c>
      <c r="N28" s="236">
        <v>5</v>
      </c>
      <c r="O28" s="38"/>
      <c r="Q28" s="38" t="s">
        <v>228</v>
      </c>
      <c r="S28" s="109" t="s">
        <v>8</v>
      </c>
      <c r="T28" s="39">
        <v>45</v>
      </c>
      <c r="U28" s="39">
        <v>5</v>
      </c>
    </row>
    <row r="29" spans="1:23" ht="15.75" customHeight="1" x14ac:dyDescent="0.25">
      <c r="A29" s="227" t="s">
        <v>330</v>
      </c>
      <c r="B29" s="49" t="s">
        <v>15</v>
      </c>
      <c r="C29" s="45"/>
      <c r="D29" s="45" t="s">
        <v>24</v>
      </c>
      <c r="G29" s="451" t="e">
        <f>IF(E23&lt;J32,CONCATENATE(" Nur wenn vL mindestens ",LEFT(J32,3),"'000 Fr.!"),"")</f>
        <v>#VALUE!</v>
      </c>
      <c r="I29" s="218"/>
      <c r="L29" s="547">
        <v>6</v>
      </c>
      <c r="M29" s="38" t="s">
        <v>525</v>
      </c>
      <c r="N29" s="236">
        <v>6</v>
      </c>
      <c r="O29" s="38"/>
      <c r="Q29" s="38" t="s">
        <v>529</v>
      </c>
      <c r="S29" s="109" t="s">
        <v>533</v>
      </c>
      <c r="T29" s="39">
        <v>46</v>
      </c>
      <c r="U29" s="39">
        <v>5</v>
      </c>
    </row>
    <row r="30" spans="1:23" ht="15.75" customHeight="1" x14ac:dyDescent="0.25">
      <c r="A30" s="227" t="s">
        <v>331</v>
      </c>
      <c r="B30" s="66"/>
      <c r="C30" s="45"/>
      <c r="D30" s="45" t="s">
        <v>69</v>
      </c>
      <c r="I30" s="218"/>
      <c r="L30" s="547">
        <v>7</v>
      </c>
      <c r="M30" s="38" t="s">
        <v>526</v>
      </c>
      <c r="N30" s="236">
        <v>7</v>
      </c>
      <c r="O30" s="38"/>
      <c r="Q30" s="38" t="s">
        <v>530</v>
      </c>
      <c r="S30" s="109" t="s">
        <v>534</v>
      </c>
      <c r="T30" s="39">
        <v>47</v>
      </c>
      <c r="U30" s="39">
        <v>5</v>
      </c>
    </row>
    <row r="31" spans="1:23" ht="15.75" customHeight="1" x14ac:dyDescent="0.25">
      <c r="A31" s="227" t="s">
        <v>332</v>
      </c>
      <c r="B31" s="45" t="s">
        <v>17</v>
      </c>
      <c r="C31" s="45"/>
      <c r="D31" s="45" t="s">
        <v>18</v>
      </c>
      <c r="H31" s="452"/>
      <c r="I31" s="218"/>
      <c r="L31" s="547">
        <v>8</v>
      </c>
      <c r="M31" s="38" t="s">
        <v>527</v>
      </c>
      <c r="N31" s="236">
        <v>8</v>
      </c>
      <c r="O31" s="38"/>
      <c r="Q31" s="38" t="s">
        <v>531</v>
      </c>
      <c r="S31" s="109" t="s">
        <v>535</v>
      </c>
      <c r="T31" s="39">
        <v>48</v>
      </c>
      <c r="U31" s="39">
        <v>5</v>
      </c>
    </row>
    <row r="32" spans="1:23" ht="15.75" customHeight="1" x14ac:dyDescent="0.25">
      <c r="A32" s="227" t="s">
        <v>333</v>
      </c>
      <c r="B32" s="45" t="s">
        <v>59</v>
      </c>
      <c r="C32" s="45"/>
      <c r="D32" s="45" t="s">
        <v>21</v>
      </c>
      <c r="I32" s="218"/>
      <c r="J32" s="94" t="e">
        <f>VLOOKUP(K39,L39:P50,5)</f>
        <v>#VALUE!</v>
      </c>
      <c r="L32" s="547">
        <v>9</v>
      </c>
      <c r="M32" s="38" t="s">
        <v>528</v>
      </c>
      <c r="N32" s="236">
        <v>9</v>
      </c>
      <c r="O32" s="38"/>
      <c r="Q32" s="38" t="s">
        <v>532</v>
      </c>
      <c r="S32" s="109" t="s">
        <v>536</v>
      </c>
      <c r="T32" s="39">
        <v>49</v>
      </c>
      <c r="U32" s="39">
        <v>5</v>
      </c>
    </row>
    <row r="33" spans="1:23" ht="15.75" customHeight="1" x14ac:dyDescent="0.25">
      <c r="B33" s="40"/>
      <c r="C33" s="41"/>
      <c r="I33" s="218"/>
      <c r="J33" s="242"/>
      <c r="L33" s="547"/>
      <c r="M33" s="38"/>
      <c r="N33" s="236"/>
      <c r="O33" s="38"/>
      <c r="T33" s="39"/>
      <c r="U33" s="39"/>
    </row>
    <row r="34" spans="1:23" ht="15.75" customHeight="1" x14ac:dyDescent="0.25">
      <c r="A34" s="55" t="s">
        <v>278</v>
      </c>
      <c r="B34" s="330" t="s">
        <v>158</v>
      </c>
      <c r="C34" s="331"/>
      <c r="D34" s="332"/>
      <c r="E34" s="495"/>
      <c r="F34" s="495"/>
      <c r="G34" s="495"/>
      <c r="H34" s="495"/>
      <c r="I34" s="223"/>
      <c r="J34" s="242"/>
      <c r="L34" s="547"/>
      <c r="M34" s="38" t="s">
        <v>635</v>
      </c>
      <c r="N34" s="236">
        <v>11</v>
      </c>
      <c r="O34" s="38"/>
      <c r="S34" s="109" t="s">
        <v>643</v>
      </c>
      <c r="T34" s="39"/>
      <c r="U34" s="39"/>
    </row>
    <row r="35" spans="1:23" ht="15.75" customHeight="1" thickBot="1" x14ac:dyDescent="0.3">
      <c r="A35" s="99"/>
      <c r="B35" s="53"/>
      <c r="C35" s="53"/>
      <c r="D35" s="54"/>
      <c r="E35" s="54"/>
      <c r="F35" s="54"/>
      <c r="G35" s="97"/>
      <c r="H35" s="54"/>
      <c r="I35" s="224"/>
      <c r="J35" s="242"/>
      <c r="L35" s="547"/>
      <c r="M35" s="38" t="s">
        <v>636</v>
      </c>
      <c r="N35" s="236">
        <v>12</v>
      </c>
      <c r="O35" s="38"/>
      <c r="S35" s="109" t="s">
        <v>644</v>
      </c>
      <c r="T35" s="39"/>
      <c r="U35" s="39"/>
    </row>
    <row r="36" spans="1:23" ht="15.75" customHeight="1" x14ac:dyDescent="0.25">
      <c r="B36" s="41"/>
      <c r="C36" s="41"/>
      <c r="D36" s="43"/>
      <c r="E36" s="65" t="s">
        <v>43</v>
      </c>
      <c r="F36" s="65" t="s">
        <v>115</v>
      </c>
      <c r="G36" s="98" t="s">
        <v>114</v>
      </c>
      <c r="J36" s="639">
        <f>IF(Beiträge!G21=18,1,IF(Beiträge!G21=20,2,3))</f>
        <v>3</v>
      </c>
      <c r="K36" s="532" t="e">
        <f>Code!F12+1</f>
        <v>#VALUE!</v>
      </c>
      <c r="L36" s="545">
        <v>1</v>
      </c>
      <c r="M36" s="38" t="s">
        <v>169</v>
      </c>
      <c r="N36" s="236">
        <v>0</v>
      </c>
      <c r="O36" s="38"/>
      <c r="Q36" s="38" t="s">
        <v>221</v>
      </c>
      <c r="S36" s="109" t="s">
        <v>108</v>
      </c>
      <c r="T36" s="39">
        <v>50</v>
      </c>
      <c r="U36" s="39">
        <v>5</v>
      </c>
    </row>
    <row r="37" spans="1:23" ht="15.75" customHeight="1" x14ac:dyDescent="0.25">
      <c r="A37" s="227"/>
      <c r="B37" s="45" t="s">
        <v>10</v>
      </c>
      <c r="C37" s="45"/>
      <c r="D37" s="45" t="s">
        <v>45</v>
      </c>
      <c r="E37" s="89" t="e">
        <f>VLOOKUP(L2,'Tabellen B'!B18:AT23,K24+1)/100</f>
        <v>#VALUE!</v>
      </c>
      <c r="F37" s="510" t="e">
        <f>$E$23*E37</f>
        <v>#VALUE!</v>
      </c>
      <c r="G37" s="510" t="e">
        <f>F37/12</f>
        <v>#VALUE!</v>
      </c>
      <c r="I37" s="214"/>
      <c r="J37" s="641">
        <v>1</v>
      </c>
      <c r="L37" s="547">
        <v>2</v>
      </c>
      <c r="M37" s="38" t="s">
        <v>170</v>
      </c>
      <c r="N37" s="236">
        <v>1</v>
      </c>
      <c r="O37" s="38"/>
      <c r="Q37" s="38" t="s">
        <v>222</v>
      </c>
      <c r="S37" s="109" t="s">
        <v>13</v>
      </c>
      <c r="T37" s="39">
        <v>51</v>
      </c>
      <c r="U37" s="39">
        <v>5</v>
      </c>
    </row>
    <row r="38" spans="1:23" ht="15.75" customHeight="1" thickBot="1" x14ac:dyDescent="0.3">
      <c r="A38" s="227"/>
      <c r="B38" s="45" t="s">
        <v>11</v>
      </c>
      <c r="C38" s="45"/>
      <c r="D38" s="45" t="s">
        <v>12</v>
      </c>
      <c r="E38" s="89" t="e">
        <f>VLOOKUP(L2,'Tabellen B'!B18:AT23,K36+6)/100</f>
        <v>#VALUE!</v>
      </c>
      <c r="F38" s="510" t="e">
        <f>$E$23*E38</f>
        <v>#VALUE!</v>
      </c>
      <c r="G38" s="510" t="e">
        <f t="shared" ref="G38:G44" si="0">F38/12</f>
        <v>#VALUE!</v>
      </c>
      <c r="H38" s="511"/>
      <c r="I38" s="214"/>
      <c r="J38" s="641">
        <v>2</v>
      </c>
      <c r="L38" s="551">
        <v>3</v>
      </c>
      <c r="M38" s="38" t="s">
        <v>171</v>
      </c>
      <c r="N38" s="236">
        <v>2</v>
      </c>
      <c r="O38" s="38"/>
      <c r="Q38" s="38" t="s">
        <v>223</v>
      </c>
      <c r="S38" s="109" t="s">
        <v>14</v>
      </c>
      <c r="T38" s="39">
        <v>52</v>
      </c>
      <c r="U38" s="39">
        <v>5</v>
      </c>
    </row>
    <row r="39" spans="1:23" ht="15.75" customHeight="1" x14ac:dyDescent="0.25">
      <c r="A39" s="227"/>
      <c r="B39" s="49" t="s">
        <v>15</v>
      </c>
      <c r="C39" s="45"/>
      <c r="D39" s="45" t="s">
        <v>16</v>
      </c>
      <c r="E39" s="89">
        <f>IF(AND(K3=1,F11&gt;65),0,IF(AND(K3=2,F11&gt;64),0,IF(L2=6,0,VLOOKUP(L2,'Tabellen B'!B18:AT23,K39+9)/100)))</f>
        <v>0</v>
      </c>
      <c r="F39" s="510" t="e">
        <f>$E$23*E39</f>
        <v>#VALUE!</v>
      </c>
      <c r="G39" s="510" t="e">
        <f t="shared" si="0"/>
        <v>#VALUE!</v>
      </c>
      <c r="H39" s="511"/>
      <c r="I39" s="214"/>
      <c r="J39" s="641">
        <v>3</v>
      </c>
      <c r="K39" s="532" t="e">
        <f>IF(Code!B8=1,1,VLOOKUP(Beiträge!E21,Beiträge!L11:M23,2))</f>
        <v>#VALUE!</v>
      </c>
      <c r="L39" s="545">
        <v>1</v>
      </c>
      <c r="M39" s="38" t="s">
        <v>172</v>
      </c>
      <c r="N39" s="236">
        <v>1</v>
      </c>
      <c r="O39" s="38" t="s">
        <v>70</v>
      </c>
      <c r="P39" s="38">
        <v>0</v>
      </c>
      <c r="Q39" s="109" t="s">
        <v>192</v>
      </c>
      <c r="R39" s="109" t="s">
        <v>262</v>
      </c>
      <c r="S39" s="109" t="s">
        <v>192</v>
      </c>
      <c r="T39" s="39">
        <v>53</v>
      </c>
      <c r="U39" s="39">
        <v>5</v>
      </c>
    </row>
    <row r="40" spans="1:23" ht="15.75" customHeight="1" x14ac:dyDescent="0.25">
      <c r="A40" s="227"/>
      <c r="B40" s="45" t="s">
        <v>17</v>
      </c>
      <c r="C40" s="45"/>
      <c r="D40" s="45" t="s">
        <v>18</v>
      </c>
      <c r="E40" s="89">
        <f>IF(AND(K3=1,F11&gt;65),0,IF(AND(K3=2,F11&gt;64),0,IF(K55=6,"",VLOOKUP(L2,'Tabellen B'!B18:AT23,K55+23)/100)))</f>
        <v>0</v>
      </c>
      <c r="F40" s="510" t="e">
        <f>IF(K55=6,2*K52%*E23,$E$23*E40)</f>
        <v>#VALUE!</v>
      </c>
      <c r="G40" s="510" t="e">
        <f t="shared" si="0"/>
        <v>#VALUE!</v>
      </c>
      <c r="H40" s="511"/>
      <c r="I40" s="214"/>
      <c r="J40" s="231" t="e">
        <f>(F37+F38)/94*100-(F37+F38)</f>
        <v>#VALUE!</v>
      </c>
      <c r="L40" s="547">
        <v>2</v>
      </c>
      <c r="M40" s="38" t="s">
        <v>173</v>
      </c>
      <c r="N40" s="236">
        <v>2</v>
      </c>
      <c r="O40" s="552" t="s">
        <v>79</v>
      </c>
      <c r="P40" s="548">
        <v>200000</v>
      </c>
      <c r="Q40" s="109" t="s">
        <v>193</v>
      </c>
      <c r="R40" s="109" t="s">
        <v>249</v>
      </c>
      <c r="S40" s="109" t="s">
        <v>427</v>
      </c>
      <c r="T40" s="39">
        <v>54</v>
      </c>
      <c r="U40" s="39">
        <v>5</v>
      </c>
    </row>
    <row r="41" spans="1:23" ht="15.75" customHeight="1" x14ac:dyDescent="0.25">
      <c r="A41" s="227"/>
      <c r="B41" s="56" t="s">
        <v>75</v>
      </c>
      <c r="C41" s="56"/>
      <c r="D41" s="45" t="s">
        <v>53</v>
      </c>
      <c r="E41" s="89">
        <f>IF(AND(K3=1,F11&gt;65),0,IF(AND(K3=2,F11&gt;64),0,IF(K61=2,VLOOKUP(L2,'Tabellen B'!B18:AM23,30)/100,VLOOKUP(L2,'Tabellen B'!B18:AM23,K24+29)/100)))</f>
        <v>0</v>
      </c>
      <c r="F41" s="510" t="e">
        <f>$E$23*E41</f>
        <v>#VALUE!</v>
      </c>
      <c r="G41" s="510" t="e">
        <f t="shared" si="0"/>
        <v>#VALUE!</v>
      </c>
      <c r="H41" s="511"/>
      <c r="I41" s="214"/>
      <c r="J41" s="232" t="e">
        <f>100/(F45-144)*(F39+F40+F41+F42+J42)</f>
        <v>#VALUE!</v>
      </c>
      <c r="K41" s="640" t="e">
        <f>VLOOKUP(J36,J37:K39,2)</f>
        <v>#VALUE!</v>
      </c>
      <c r="L41" s="547">
        <v>3</v>
      </c>
      <c r="M41" s="38" t="s">
        <v>174</v>
      </c>
      <c r="N41" s="236">
        <v>2</v>
      </c>
      <c r="O41" s="552" t="s">
        <v>80</v>
      </c>
      <c r="P41" s="548">
        <v>150000</v>
      </c>
      <c r="Q41" s="109" t="s">
        <v>194</v>
      </c>
      <c r="R41" s="109" t="s">
        <v>250</v>
      </c>
      <c r="S41" s="109" t="s">
        <v>428</v>
      </c>
      <c r="T41" s="39">
        <v>55</v>
      </c>
      <c r="U41" s="39">
        <v>6</v>
      </c>
    </row>
    <row r="42" spans="1:23" ht="15.75" customHeight="1" x14ac:dyDescent="0.25">
      <c r="A42" s="227"/>
      <c r="B42" s="56" t="s">
        <v>76</v>
      </c>
      <c r="C42" s="56"/>
      <c r="D42" s="45" t="s">
        <v>54</v>
      </c>
      <c r="E42" s="89">
        <f>IF(AND(K3=1,F11&gt;65),0,IF(AND(K3=2,F11&gt;64),0,IF(K36=1,0,IF(K61=2,0,VLOOKUP(L2,'Tabellen B'!B18:AT23,K36+34)/100))))</f>
        <v>0</v>
      </c>
      <c r="F42" s="510" t="e">
        <f>$E$23*E42</f>
        <v>#VALUE!</v>
      </c>
      <c r="G42" s="510" t="e">
        <f t="shared" si="0"/>
        <v>#VALUE!</v>
      </c>
      <c r="H42" s="511"/>
      <c r="I42" s="214"/>
      <c r="J42" s="233" t="e">
        <f>J40-(SUM(F39:F42))</f>
        <v>#VALUE!</v>
      </c>
      <c r="K42" s="640">
        <v>18</v>
      </c>
      <c r="L42" s="547">
        <v>4</v>
      </c>
      <c r="M42" s="38" t="s">
        <v>175</v>
      </c>
      <c r="N42" s="236">
        <v>2</v>
      </c>
      <c r="O42" s="552" t="s">
        <v>81</v>
      </c>
      <c r="P42" s="548">
        <v>100000</v>
      </c>
      <c r="Q42" s="109" t="s">
        <v>195</v>
      </c>
      <c r="R42" s="109" t="s">
        <v>251</v>
      </c>
      <c r="S42" s="109" t="s">
        <v>429</v>
      </c>
      <c r="T42" s="39">
        <v>56</v>
      </c>
      <c r="U42" s="39">
        <v>6</v>
      </c>
    </row>
    <row r="43" spans="1:23" ht="15.75" customHeight="1" x14ac:dyDescent="0.25">
      <c r="A43" s="227"/>
      <c r="B43" s="57"/>
      <c r="C43" s="56"/>
      <c r="D43" s="45" t="s">
        <v>645</v>
      </c>
      <c r="E43" s="512"/>
      <c r="F43" s="510">
        <f>IF(AND(K3=1,F11&gt;65),0,IF(AND(K3=2,F11&gt;64),0,IF(J42&lt;0,0,J42)))</f>
        <v>0</v>
      </c>
      <c r="G43" s="510">
        <f t="shared" si="0"/>
        <v>0</v>
      </c>
      <c r="H43" s="511"/>
      <c r="I43" s="214"/>
      <c r="J43" s="363"/>
      <c r="K43" s="640">
        <v>20</v>
      </c>
      <c r="L43" s="547">
        <v>5</v>
      </c>
      <c r="M43" s="38" t="s">
        <v>176</v>
      </c>
      <c r="N43" s="236">
        <v>2</v>
      </c>
      <c r="O43" s="552" t="s">
        <v>82</v>
      </c>
      <c r="P43" s="548">
        <v>100000</v>
      </c>
      <c r="Q43" s="109" t="s">
        <v>196</v>
      </c>
      <c r="R43" s="109" t="s">
        <v>252</v>
      </c>
      <c r="S43" s="109" t="s">
        <v>430</v>
      </c>
      <c r="T43" s="39">
        <v>57</v>
      </c>
      <c r="U43" s="39">
        <v>6</v>
      </c>
    </row>
    <row r="44" spans="1:23" ht="15.75" customHeight="1" x14ac:dyDescent="0.25">
      <c r="A44" s="227"/>
      <c r="B44" s="90" t="s">
        <v>65</v>
      </c>
      <c r="C44" s="45"/>
      <c r="D44" s="44" t="s">
        <v>66</v>
      </c>
      <c r="E44" s="512"/>
      <c r="F44" s="510">
        <v>192</v>
      </c>
      <c r="G44" s="510">
        <f t="shared" si="0"/>
        <v>16</v>
      </c>
      <c r="J44" s="364"/>
      <c r="K44" s="640">
        <v>25</v>
      </c>
      <c r="L44" s="547">
        <v>6</v>
      </c>
      <c r="M44" s="38" t="s">
        <v>177</v>
      </c>
      <c r="N44" s="236">
        <v>2</v>
      </c>
      <c r="O44" s="552" t="s">
        <v>83</v>
      </c>
      <c r="P44" s="38">
        <v>0</v>
      </c>
      <c r="Q44" s="109" t="s">
        <v>197</v>
      </c>
      <c r="R44" s="109" t="s">
        <v>253</v>
      </c>
      <c r="S44" s="109" t="s">
        <v>431</v>
      </c>
      <c r="T44" s="39">
        <v>58</v>
      </c>
      <c r="U44" s="39">
        <v>6</v>
      </c>
    </row>
    <row r="45" spans="1:23" ht="15.75" customHeight="1" x14ac:dyDescent="0.25">
      <c r="A45" s="227"/>
      <c r="B45" s="58" t="s">
        <v>60</v>
      </c>
      <c r="C45" s="52"/>
      <c r="D45" s="58"/>
      <c r="E45" s="513" t="e">
        <f>CONCATENATE("(",TEXT(100/E23*F45,"#.##"),"%)")</f>
        <v>#VALUE!</v>
      </c>
      <c r="F45" s="514" t="e">
        <f>SUM(F37:F44)</f>
        <v>#VALUE!</v>
      </c>
      <c r="G45" s="514" t="e">
        <f>SUM(G37:G44)</f>
        <v>#VALUE!</v>
      </c>
      <c r="J45" s="364"/>
      <c r="K45" s="234"/>
      <c r="L45" s="547">
        <v>7</v>
      </c>
      <c r="M45" s="38" t="s">
        <v>178</v>
      </c>
      <c r="N45" s="236">
        <v>2</v>
      </c>
      <c r="O45" s="552" t="s">
        <v>84</v>
      </c>
      <c r="P45" s="38">
        <v>0</v>
      </c>
      <c r="Q45" s="109" t="s">
        <v>198</v>
      </c>
      <c r="R45" s="109" t="s">
        <v>254</v>
      </c>
      <c r="S45" s="109" t="s">
        <v>432</v>
      </c>
      <c r="T45" s="39">
        <v>59</v>
      </c>
      <c r="U45" s="39">
        <v>6</v>
      </c>
    </row>
    <row r="46" spans="1:23" ht="15.75" customHeight="1" x14ac:dyDescent="0.25">
      <c r="A46" s="228" t="s">
        <v>334</v>
      </c>
      <c r="B46" s="44" t="s">
        <v>116</v>
      </c>
      <c r="C46" s="45"/>
      <c r="D46" s="44"/>
      <c r="E46" s="535">
        <f>Beiträge!B29/100</f>
        <v>0.5</v>
      </c>
      <c r="F46" s="350" t="str">
        <f>IF(K5&lt;&gt;1,"   nur bei Arbeitnehmern!",IF(J50&gt;100%,"    höchstens 100%!",(IF(J50&lt;50%,"    mindestens 50%!","   (leer = 50%)"))))</f>
        <v xml:space="preserve">   (leer = 50%)</v>
      </c>
      <c r="G46" s="214"/>
      <c r="H46" s="76"/>
      <c r="I46" s="219"/>
      <c r="J46" s="364"/>
      <c r="L46" s="547">
        <v>8</v>
      </c>
      <c r="M46" s="38" t="s">
        <v>179</v>
      </c>
      <c r="N46" s="236">
        <v>2</v>
      </c>
      <c r="O46" s="552" t="s">
        <v>85</v>
      </c>
      <c r="P46" s="38">
        <v>0</v>
      </c>
      <c r="Q46" s="109" t="s">
        <v>199</v>
      </c>
      <c r="R46" s="109" t="s">
        <v>255</v>
      </c>
      <c r="S46" s="109" t="s">
        <v>433</v>
      </c>
      <c r="T46" s="39">
        <v>60</v>
      </c>
      <c r="U46" s="39">
        <v>6</v>
      </c>
      <c r="W46" s="421"/>
    </row>
    <row r="47" spans="1:23" ht="15.75" customHeight="1" x14ac:dyDescent="0.25">
      <c r="A47" s="227"/>
      <c r="B47" s="88"/>
      <c r="C47" s="49"/>
      <c r="D47" s="88"/>
      <c r="E47" s="347"/>
      <c r="F47" s="214"/>
      <c r="G47" s="214"/>
      <c r="H47" s="76"/>
      <c r="I47" s="219"/>
      <c r="J47" s="364"/>
      <c r="L47" s="547">
        <v>9</v>
      </c>
      <c r="M47" s="38" t="s">
        <v>180</v>
      </c>
      <c r="N47" s="236">
        <v>2</v>
      </c>
      <c r="O47" s="552" t="s">
        <v>86</v>
      </c>
      <c r="P47" s="38">
        <v>0</v>
      </c>
      <c r="Q47" s="109" t="s">
        <v>200</v>
      </c>
      <c r="R47" s="109" t="s">
        <v>256</v>
      </c>
      <c r="S47" s="109" t="s">
        <v>434</v>
      </c>
      <c r="T47" s="39">
        <v>61</v>
      </c>
      <c r="U47" s="39">
        <v>6</v>
      </c>
    </row>
    <row r="48" spans="1:23" ht="15.75" customHeight="1" x14ac:dyDescent="0.25">
      <c r="A48" s="55" t="s">
        <v>279</v>
      </c>
      <c r="B48" s="330" t="s">
        <v>157</v>
      </c>
      <c r="C48" s="331"/>
      <c r="D48" s="331"/>
      <c r="E48" s="515"/>
      <c r="F48" s="516"/>
      <c r="G48" s="495"/>
      <c r="H48" s="495"/>
      <c r="I48" s="223"/>
      <c r="J48" s="364"/>
      <c r="L48" s="547">
        <v>10</v>
      </c>
      <c r="M48" s="38" t="s">
        <v>181</v>
      </c>
      <c r="N48" s="236">
        <v>2</v>
      </c>
      <c r="O48" s="552" t="s">
        <v>87</v>
      </c>
      <c r="P48" s="38">
        <v>0</v>
      </c>
      <c r="Q48" s="109" t="s">
        <v>201</v>
      </c>
      <c r="R48" s="109" t="s">
        <v>257</v>
      </c>
      <c r="S48" s="109" t="s">
        <v>435</v>
      </c>
      <c r="T48" s="39">
        <v>62</v>
      </c>
      <c r="U48" s="39">
        <v>7</v>
      </c>
    </row>
    <row r="49" spans="1:23" ht="15.75" customHeight="1" x14ac:dyDescent="0.25">
      <c r="I49" s="218"/>
      <c r="J49" s="365"/>
      <c r="L49" s="547">
        <v>11</v>
      </c>
      <c r="M49" s="38" t="s">
        <v>182</v>
      </c>
      <c r="N49" s="236">
        <v>2</v>
      </c>
      <c r="O49" s="552" t="s">
        <v>88</v>
      </c>
      <c r="P49" s="38">
        <v>0</v>
      </c>
      <c r="Q49" s="109" t="s">
        <v>202</v>
      </c>
      <c r="R49" s="109" t="s">
        <v>258</v>
      </c>
      <c r="S49" s="109" t="s">
        <v>436</v>
      </c>
      <c r="T49" s="39">
        <v>63</v>
      </c>
      <c r="U49" s="39">
        <v>7</v>
      </c>
    </row>
    <row r="50" spans="1:23" ht="15.75" customHeight="1" thickBot="1" x14ac:dyDescent="0.3">
      <c r="A50" s="227" t="s">
        <v>335</v>
      </c>
      <c r="B50" s="44" t="str">
        <f>IF(E14="","PUNKT 1.8 VERVOLLSTÄNDIGEN!",IF(MONTH(E14)=1,CONCATENATE("Altersguthaben per 31.12.",YEAR(E14-1)),CONCATENATE("Altersguthaben per ",J53)))</f>
        <v>Altersguthaben per 31.12.2025</v>
      </c>
      <c r="C50" s="45"/>
      <c r="D50" s="44"/>
      <c r="E50" s="517">
        <v>300000</v>
      </c>
      <c r="I50" s="218"/>
      <c r="J50" s="370">
        <f>IF(E46&lt;&gt;"",E46,50%)</f>
        <v>0.5</v>
      </c>
      <c r="L50" s="547">
        <v>12</v>
      </c>
      <c r="M50" s="38" t="s">
        <v>183</v>
      </c>
      <c r="N50" s="236">
        <v>2</v>
      </c>
      <c r="O50" s="552" t="s">
        <v>89</v>
      </c>
      <c r="P50" s="38">
        <v>0</v>
      </c>
      <c r="Q50" s="109" t="s">
        <v>203</v>
      </c>
      <c r="R50" s="109" t="s">
        <v>259</v>
      </c>
      <c r="S50" s="109" t="s">
        <v>437</v>
      </c>
      <c r="T50" s="39">
        <v>64</v>
      </c>
      <c r="U50" s="39">
        <v>7</v>
      </c>
      <c r="W50" s="421"/>
    </row>
    <row r="51" spans="1:23" ht="15.75" customHeight="1" thickTop="1" thickBot="1" x14ac:dyDescent="0.3">
      <c r="A51" s="227" t="s">
        <v>336</v>
      </c>
      <c r="B51" s="44" t="str">
        <f>IF(E14="","PUNKT 1.8 VERVOLLSTÄNDIGEN!",IF(MONTH(E14)=1,CONCATENATE("davon BVG per 31.12.",YEAR(E14-1)),CONCATENATE("davon BVG per ",J53)))</f>
        <v>davon BVG per 31.12.2025</v>
      </c>
      <c r="C51" s="45"/>
      <c r="D51" s="44"/>
      <c r="E51" s="517">
        <v>100000</v>
      </c>
      <c r="F51" s="76" t="str">
        <f>IF(E51&gt;E50,CONCATENATE("   darf höchstens ",E50," Fr. sein!"),"")</f>
        <v/>
      </c>
      <c r="I51" s="218"/>
      <c r="J51" s="371">
        <f>IF(E46&lt;50%,50%,IF(E46&gt;100%,100%,IF(E46&lt;&gt;"",E46,50%)))</f>
        <v>0.5</v>
      </c>
      <c r="L51" s="547">
        <v>13</v>
      </c>
      <c r="M51" s="38" t="s">
        <v>184</v>
      </c>
      <c r="N51" s="236">
        <v>2</v>
      </c>
      <c r="O51" s="552" t="s">
        <v>135</v>
      </c>
      <c r="P51" s="38">
        <v>0</v>
      </c>
      <c r="Q51" s="109" t="s">
        <v>204</v>
      </c>
      <c r="R51" s="109" t="s">
        <v>260</v>
      </c>
      <c r="S51" s="109" t="s">
        <v>438</v>
      </c>
      <c r="T51" s="39">
        <v>65</v>
      </c>
      <c r="U51" s="39">
        <v>7</v>
      </c>
      <c r="W51" s="421"/>
    </row>
    <row r="52" spans="1:23" ht="15.75" customHeight="1" thickTop="1" thickBot="1" x14ac:dyDescent="0.3">
      <c r="A52" s="227" t="s">
        <v>337</v>
      </c>
      <c r="B52" s="44" t="s">
        <v>494</v>
      </c>
      <c r="C52" s="45"/>
      <c r="D52" s="44"/>
      <c r="E52" s="89">
        <v>0.02</v>
      </c>
      <c r="F52" s="518" t="s">
        <v>125</v>
      </c>
      <c r="G52" s="519"/>
      <c r="H52" s="520" t="s">
        <v>467</v>
      </c>
      <c r="I52" s="218"/>
      <c r="J52" s="365" t="e">
        <f>F45*J51</f>
        <v>#VALUE!</v>
      </c>
      <c r="K52" s="539" t="e">
        <f>IF(K55=6,ROUND((E39+E41+E42)*7.5,2),"")</f>
        <v>#VALUE!</v>
      </c>
      <c r="L52" s="551">
        <v>14</v>
      </c>
      <c r="M52" s="38" t="s">
        <v>185</v>
      </c>
      <c r="N52" s="236">
        <v>2</v>
      </c>
      <c r="O52" s="552" t="s">
        <v>136</v>
      </c>
      <c r="P52" s="38">
        <v>0</v>
      </c>
      <c r="Q52" s="109" t="s">
        <v>205</v>
      </c>
      <c r="R52" s="109" t="s">
        <v>261</v>
      </c>
      <c r="S52" s="109" t="s">
        <v>439</v>
      </c>
      <c r="T52" s="39">
        <v>66</v>
      </c>
      <c r="U52" s="39">
        <v>8</v>
      </c>
      <c r="W52" s="421"/>
    </row>
    <row r="53" spans="1:23" ht="15.75" customHeight="1" x14ac:dyDescent="0.25">
      <c r="A53" s="227"/>
      <c r="B53" s="88"/>
      <c r="C53" s="49"/>
      <c r="D53" s="88"/>
      <c r="F53" s="521"/>
      <c r="G53" s="87"/>
      <c r="H53" s="522"/>
      <c r="I53" s="215"/>
      <c r="J53" s="355" t="str">
        <f>IF(MONTH(E14)=1,CONCATENATE("31.12.",YEAR(E14-1)),CONCATENATE(VLOOKUP(MONTH(E14)-1,L65:M76,2),".",MONTH(E14)-1,".",YEAR(E14)))</f>
        <v>31.12.2025</v>
      </c>
      <c r="K53" s="532">
        <f>IF(Code!A7=5,2,IF(Code!A7=2,1,2))</f>
        <v>2</v>
      </c>
      <c r="L53" s="545">
        <v>1</v>
      </c>
      <c r="M53" s="38" t="s">
        <v>67</v>
      </c>
      <c r="N53" s="236">
        <v>2</v>
      </c>
      <c r="O53" s="38"/>
      <c r="R53" s="38" t="s">
        <v>247</v>
      </c>
      <c r="S53" s="109">
        <v>720</v>
      </c>
      <c r="T53" s="39">
        <v>67</v>
      </c>
      <c r="U53" s="39">
        <v>8</v>
      </c>
    </row>
    <row r="54" spans="1:23" ht="15.75" customHeight="1" thickBot="1" x14ac:dyDescent="0.3">
      <c r="A54" s="227"/>
      <c r="B54" s="44" t="s">
        <v>129</v>
      </c>
      <c r="C54" s="45"/>
      <c r="D54" s="44"/>
      <c r="E54" s="523" t="s">
        <v>126</v>
      </c>
      <c r="F54" s="523" t="e">
        <f>IF(#REF!&gt;0,"UWS*","UWS")</f>
        <v>#REF!</v>
      </c>
      <c r="G54" s="523" t="s">
        <v>128</v>
      </c>
      <c r="H54" s="523" t="s">
        <v>127</v>
      </c>
      <c r="I54" s="216"/>
      <c r="L54" s="551">
        <v>2</v>
      </c>
      <c r="M54" s="38" t="s">
        <v>68</v>
      </c>
      <c r="N54" s="236">
        <v>1</v>
      </c>
      <c r="O54" s="38"/>
      <c r="R54" s="38" t="s">
        <v>248</v>
      </c>
      <c r="S54" s="109">
        <v>360</v>
      </c>
      <c r="T54" s="39">
        <v>68</v>
      </c>
      <c r="U54" s="39">
        <v>8</v>
      </c>
    </row>
    <row r="55" spans="1:23" ht="15.75" customHeight="1" x14ac:dyDescent="0.25">
      <c r="A55" s="227"/>
      <c r="B55" s="44" t="str">
        <f>CONCATENATE("58 Jahre (1.",O67,".",P67,")")</f>
        <v>58 Jahre (1.2.1958)</v>
      </c>
      <c r="C55" s="45"/>
      <c r="D55" s="44"/>
      <c r="E55" s="420" t="e">
        <f>#REF!</f>
        <v>#REF!</v>
      </c>
      <c r="F55" s="89" t="e">
        <f>IF(#REF!=1,"",#REF!/100)</f>
        <v>#REF!</v>
      </c>
      <c r="G55" s="86" t="e">
        <f>IF(#REF!=1,#REF!,#REF!)</f>
        <v>#REF!</v>
      </c>
      <c r="H55" s="420" t="e">
        <f>G55/12</f>
        <v>#REF!</v>
      </c>
      <c r="I55" s="217"/>
      <c r="K55" s="531" t="e">
        <f>IF(Code!C9=0,1,IF(Code!C9=2,6,VLOOKUP(Beiträge!F21,Beiträge!N11:O14,2)))</f>
        <v>#VALUE!</v>
      </c>
      <c r="L55" s="545">
        <v>1</v>
      </c>
      <c r="M55" s="38" t="s">
        <v>190</v>
      </c>
      <c r="N55" s="236">
        <v>0</v>
      </c>
      <c r="O55" s="552" t="s">
        <v>92</v>
      </c>
      <c r="P55" s="109" t="s">
        <v>192</v>
      </c>
      <c r="Q55" s="38" t="s">
        <v>275</v>
      </c>
      <c r="S55" s="109" t="s">
        <v>440</v>
      </c>
      <c r="T55" s="39">
        <v>69</v>
      </c>
      <c r="U55" s="39">
        <v>8</v>
      </c>
    </row>
    <row r="56" spans="1:23" ht="15.75" customHeight="1" x14ac:dyDescent="0.25">
      <c r="A56" s="227"/>
      <c r="B56" s="44" t="str">
        <f>CONCATENATE("59 Jahre (1.",O68,".",P68,")")</f>
        <v>59 Jahre (1.2.1959)</v>
      </c>
      <c r="C56" s="45"/>
      <c r="D56" s="44"/>
      <c r="E56" s="420" t="e">
        <f>#REF!</f>
        <v>#REF!</v>
      </c>
      <c r="F56" s="89" t="e">
        <f>IF(#REF!=1,"",#REF!/100)</f>
        <v>#REF!</v>
      </c>
      <c r="G56" s="86" t="e">
        <f>IF(#REF!=1,#REF!,#REF!)</f>
        <v>#REF!</v>
      </c>
      <c r="H56" s="420" t="e">
        <f t="shared" ref="H56:H67" si="1">G56/12</f>
        <v>#REF!</v>
      </c>
      <c r="I56" s="217"/>
      <c r="J56" s="354">
        <f>IF(J13&gt;40908,E50,VLOOKUP(2011,#REF!,10))</f>
        <v>300000</v>
      </c>
      <c r="K56" s="106"/>
      <c r="L56" s="547">
        <v>2</v>
      </c>
      <c r="M56" s="38" t="s">
        <v>189</v>
      </c>
      <c r="N56" s="236">
        <v>1</v>
      </c>
      <c r="O56" s="552" t="s">
        <v>87</v>
      </c>
      <c r="P56" s="109" t="s">
        <v>206</v>
      </c>
      <c r="Q56" s="38" t="s">
        <v>229</v>
      </c>
      <c r="S56" s="109" t="s">
        <v>435</v>
      </c>
      <c r="T56" s="39">
        <v>70</v>
      </c>
      <c r="U56" s="39">
        <v>8</v>
      </c>
    </row>
    <row r="57" spans="1:23" ht="15.75" customHeight="1" x14ac:dyDescent="0.25">
      <c r="A57" s="227"/>
      <c r="B57" s="44" t="str">
        <f>CONCATENATE("60 Jahre (1.",O69,".",P69,")")</f>
        <v>60 Jahre (1.2.1960)</v>
      </c>
      <c r="C57" s="45"/>
      <c r="D57" s="44"/>
      <c r="E57" s="420" t="e">
        <f>#REF!</f>
        <v>#REF!</v>
      </c>
      <c r="F57" s="89" t="e">
        <f>IF(#REF!=1,"",#REF!/100)</f>
        <v>#REF!</v>
      </c>
      <c r="G57" s="86" t="e">
        <f>IF(#REF!=1,#REF!,#REF!)</f>
        <v>#REF!</v>
      </c>
      <c r="H57" s="420" t="e">
        <f t="shared" si="1"/>
        <v>#REF!</v>
      </c>
      <c r="I57" s="217"/>
      <c r="L57" s="547">
        <v>3</v>
      </c>
      <c r="M57" s="38" t="s">
        <v>188</v>
      </c>
      <c r="N57" s="236">
        <v>1</v>
      </c>
      <c r="O57" s="552" t="s">
        <v>93</v>
      </c>
      <c r="P57" s="109" t="s">
        <v>207</v>
      </c>
      <c r="Q57" s="38" t="s">
        <v>230</v>
      </c>
      <c r="S57" s="109" t="s">
        <v>441</v>
      </c>
      <c r="T57" s="39">
        <v>71</v>
      </c>
      <c r="U57" s="39">
        <v>8</v>
      </c>
    </row>
    <row r="58" spans="1:23" ht="15.75" customHeight="1" x14ac:dyDescent="0.25">
      <c r="A58" s="227"/>
      <c r="B58" s="44" t="str">
        <f>CONCATENATE("61 Jahre (1.",O70,".",P70,")")</f>
        <v>61 Jahre (1.2.1961)</v>
      </c>
      <c r="C58" s="45"/>
      <c r="D58" s="44"/>
      <c r="E58" s="420" t="e">
        <f>#REF!</f>
        <v>#REF!</v>
      </c>
      <c r="F58" s="89" t="e">
        <f>IF(#REF!=1,"",#REF!/100)</f>
        <v>#REF!</v>
      </c>
      <c r="G58" s="86" t="e">
        <f>IF(#REF!=1,#REF!,#REF!)</f>
        <v>#REF!</v>
      </c>
      <c r="H58" s="420" t="e">
        <f t="shared" si="1"/>
        <v>#REF!</v>
      </c>
      <c r="I58" s="217"/>
      <c r="J58" s="104">
        <f>IF(G52="",E52,G52)</f>
        <v>0.02</v>
      </c>
      <c r="L58" s="547">
        <v>4</v>
      </c>
      <c r="M58" s="38" t="s">
        <v>187</v>
      </c>
      <c r="N58" s="236">
        <v>1</v>
      </c>
      <c r="O58" s="552" t="s">
        <v>94</v>
      </c>
      <c r="P58" s="109" t="s">
        <v>208</v>
      </c>
      <c r="Q58" s="38" t="s">
        <v>231</v>
      </c>
      <c r="S58" s="109" t="s">
        <v>442</v>
      </c>
      <c r="T58" s="39">
        <v>72</v>
      </c>
      <c r="U58" s="39">
        <v>8</v>
      </c>
    </row>
    <row r="59" spans="1:23" ht="15.75" customHeight="1" x14ac:dyDescent="0.25">
      <c r="A59" s="227"/>
      <c r="B59" s="44" t="str">
        <f>CONCATENATE("62 Jahre (1.",O71,".",P71,")")</f>
        <v>62 Jahre (1.2.1962)</v>
      </c>
      <c r="C59" s="45"/>
      <c r="D59" s="44"/>
      <c r="E59" s="420" t="e">
        <f>#REF!</f>
        <v>#REF!</v>
      </c>
      <c r="F59" s="89" t="e">
        <f>IF(#REF!=1,"",#REF!/100)</f>
        <v>#REF!</v>
      </c>
      <c r="G59" s="86" t="e">
        <f>IF(#REF!=1,#REF!,#REF!)</f>
        <v>#REF!</v>
      </c>
      <c r="H59" s="420" t="e">
        <f t="shared" si="1"/>
        <v>#REF!</v>
      </c>
      <c r="I59" s="217"/>
      <c r="J59" s="114"/>
      <c r="L59" s="547">
        <v>5</v>
      </c>
      <c r="M59" s="38" t="s">
        <v>186</v>
      </c>
      <c r="N59" s="236">
        <v>1</v>
      </c>
      <c r="O59" s="552" t="s">
        <v>95</v>
      </c>
      <c r="P59" s="109" t="s">
        <v>209</v>
      </c>
      <c r="Q59" s="38" t="s">
        <v>246</v>
      </c>
      <c r="S59" s="109" t="s">
        <v>443</v>
      </c>
      <c r="T59" s="39">
        <v>73</v>
      </c>
      <c r="U59" s="39">
        <v>8</v>
      </c>
    </row>
    <row r="60" spans="1:23" ht="15.75" customHeight="1" thickBot="1" x14ac:dyDescent="0.3">
      <c r="A60" s="227"/>
      <c r="B60" s="44" t="str">
        <f>CONCATENATE("63 Jahre (1.",O72,".",P72,")")</f>
        <v>63 Jahre (1.2.1963)</v>
      </c>
      <c r="C60" s="45"/>
      <c r="D60" s="44"/>
      <c r="E60" s="420" t="e">
        <f>#REF!</f>
        <v>#REF!</v>
      </c>
      <c r="F60" s="89" t="e">
        <f>IF(#REF!=1,"",#REF!/100)</f>
        <v>#REF!</v>
      </c>
      <c r="G60" s="86" t="e">
        <f>IF(#REF!=1,#REF!,#REF!)</f>
        <v>#REF!</v>
      </c>
      <c r="H60" s="420" t="e">
        <f t="shared" si="1"/>
        <v>#REF!</v>
      </c>
      <c r="I60" s="217"/>
      <c r="J60" s="115"/>
      <c r="K60" s="103"/>
      <c r="L60" s="551">
        <v>6</v>
      </c>
      <c r="M60" s="38" t="s">
        <v>342</v>
      </c>
      <c r="N60" s="236">
        <v>2</v>
      </c>
      <c r="O60" s="38" t="s">
        <v>92</v>
      </c>
      <c r="P60" s="109" t="s">
        <v>192</v>
      </c>
      <c r="Q60" s="38" t="s">
        <v>343</v>
      </c>
      <c r="S60" s="109" t="s">
        <v>447</v>
      </c>
      <c r="T60" s="39">
        <v>74</v>
      </c>
      <c r="U60" s="39">
        <v>8</v>
      </c>
    </row>
    <row r="61" spans="1:23" ht="15.75" customHeight="1" x14ac:dyDescent="0.25">
      <c r="A61" s="227"/>
      <c r="B61" s="44" t="str">
        <f>CONCATENATE("64 Jahre (1.",O73,".",P73,")")</f>
        <v>64 Jahre (1.2.1964)</v>
      </c>
      <c r="C61" s="45"/>
      <c r="D61" s="44"/>
      <c r="E61" s="420" t="e">
        <f>#REF!</f>
        <v>#REF!</v>
      </c>
      <c r="F61" s="89" t="e">
        <f>IF(#REF!=1,"",#REF!/100)</f>
        <v>#REF!</v>
      </c>
      <c r="G61" s="86" t="e">
        <f>IF(#REF!=1,#REF!,#REF!)</f>
        <v>#REF!</v>
      </c>
      <c r="H61" s="420" t="e">
        <f t="shared" si="1"/>
        <v>#REF!</v>
      </c>
      <c r="I61" s="217"/>
      <c r="J61" s="115"/>
      <c r="K61" s="531" t="e">
        <f>IF(Code!D10=0,2,1)</f>
        <v>#VALUE!</v>
      </c>
      <c r="L61" s="545">
        <v>1</v>
      </c>
      <c r="M61" s="38" t="s">
        <v>263</v>
      </c>
      <c r="N61" s="236">
        <v>1</v>
      </c>
      <c r="O61" s="38"/>
      <c r="S61" s="109" t="s">
        <v>267</v>
      </c>
      <c r="T61" s="39">
        <v>75</v>
      </c>
      <c r="U61" s="39">
        <v>8</v>
      </c>
    </row>
    <row r="62" spans="1:23" ht="15.75" customHeight="1" thickBot="1" x14ac:dyDescent="0.3">
      <c r="A62" s="227"/>
      <c r="B62" s="44" t="str">
        <f>CONCATENATE("65 Jahre (1.",O74,".",P74,")")</f>
        <v>65 Jahre (1.2.1965)</v>
      </c>
      <c r="C62" s="45"/>
      <c r="D62" s="44"/>
      <c r="E62" s="420" t="e">
        <f>#REF!</f>
        <v>#REF!</v>
      </c>
      <c r="F62" s="89" t="e">
        <f>IF(#REF!=1,"",#REF!/100)</f>
        <v>#REF!</v>
      </c>
      <c r="G62" s="86" t="e">
        <f>IF(#REF!=1,#REF!,#REF!)</f>
        <v>#REF!</v>
      </c>
      <c r="H62" s="420" t="e">
        <f t="shared" si="1"/>
        <v>#REF!</v>
      </c>
      <c r="I62" s="217"/>
      <c r="J62" s="115"/>
      <c r="L62" s="551">
        <v>2</v>
      </c>
      <c r="M62" s="38" t="s">
        <v>191</v>
      </c>
      <c r="N62" s="236">
        <v>0</v>
      </c>
      <c r="O62" s="38"/>
      <c r="S62" s="109" t="s">
        <v>268</v>
      </c>
      <c r="T62" s="39">
        <v>76</v>
      </c>
      <c r="U62" s="39">
        <v>8</v>
      </c>
    </row>
    <row r="63" spans="1:23" ht="15.75" customHeight="1" x14ac:dyDescent="0.25">
      <c r="A63" s="227"/>
      <c r="B63" s="44" t="str">
        <f>CONCATENATE("66 Jahre (1.",O75,".",P75,")")</f>
        <v>66 Jahre (1.2.1966)</v>
      </c>
      <c r="C63" s="45"/>
      <c r="D63" s="44"/>
      <c r="E63" s="420" t="e">
        <f>#REF!</f>
        <v>#REF!</v>
      </c>
      <c r="F63" s="89" t="e">
        <f>IF(#REF!=1,"",#REF!/100)</f>
        <v>#REF!</v>
      </c>
      <c r="G63" s="86" t="e">
        <f>IF(#REF!=1,#REF!,#REF!)</f>
        <v>#REF!</v>
      </c>
      <c r="H63" s="420" t="e">
        <f t="shared" si="1"/>
        <v>#REF!</v>
      </c>
      <c r="I63" s="217"/>
      <c r="J63" s="115"/>
      <c r="K63" s="212">
        <v>1</v>
      </c>
      <c r="L63" s="545">
        <v>1</v>
      </c>
      <c r="M63" s="553">
        <v>0.6</v>
      </c>
      <c r="N63" s="236"/>
      <c r="O63" s="38"/>
      <c r="T63" s="39">
        <v>77</v>
      </c>
      <c r="U63" s="39">
        <v>8</v>
      </c>
    </row>
    <row r="64" spans="1:23" s="36" customFormat="1" ht="15.75" customHeight="1" thickBot="1" x14ac:dyDescent="0.3">
      <c r="A64" s="227"/>
      <c r="B64" s="44" t="str">
        <f>CONCATENATE("67 Jahre (1.",O76,".",P76,")")</f>
        <v>67 Jahre (1.2.1967)</v>
      </c>
      <c r="C64" s="45"/>
      <c r="D64" s="44"/>
      <c r="E64" s="420" t="e">
        <f>#REF!</f>
        <v>#REF!</v>
      </c>
      <c r="F64" s="89" t="e">
        <f>IF(#REF!=1,"",#REF!/100)</f>
        <v>#REF!</v>
      </c>
      <c r="G64" s="86" t="e">
        <f>IF(#REF!=1,#REF!,#REF!)</f>
        <v>#REF!</v>
      </c>
      <c r="H64" s="420" t="e">
        <f t="shared" si="1"/>
        <v>#REF!</v>
      </c>
      <c r="I64" s="217"/>
      <c r="J64" s="115"/>
      <c r="K64" s="181"/>
      <c r="L64" s="554">
        <v>2</v>
      </c>
      <c r="M64" s="38" t="s">
        <v>315</v>
      </c>
      <c r="N64" s="555"/>
      <c r="O64" s="38"/>
      <c r="P64" s="556"/>
      <c r="Q64" s="556"/>
      <c r="R64" s="556"/>
      <c r="S64" s="557"/>
      <c r="T64" s="39">
        <v>78</v>
      </c>
      <c r="U64" s="39">
        <v>8</v>
      </c>
      <c r="W64" s="21"/>
    </row>
    <row r="65" spans="1:23" s="36" customFormat="1" ht="15.75" customHeight="1" x14ac:dyDescent="0.25">
      <c r="A65" s="227"/>
      <c r="B65" s="44" t="str">
        <f>CONCATENATE("68 Jahre (1.",O77,".",P77,")")</f>
        <v>68 Jahre (1.2.1968)</v>
      </c>
      <c r="C65" s="45"/>
      <c r="D65" s="44"/>
      <c r="E65" s="420" t="e">
        <f>#REF!</f>
        <v>#REF!</v>
      </c>
      <c r="F65" s="89" t="e">
        <f>IF(#REF!=1,"",#REF!/100)</f>
        <v>#REF!</v>
      </c>
      <c r="G65" s="86" t="e">
        <f>IF(#REF!=1,#REF!,#REF!)</f>
        <v>#REF!</v>
      </c>
      <c r="H65" s="420" t="e">
        <f t="shared" si="1"/>
        <v>#REF!</v>
      </c>
      <c r="I65" s="217"/>
      <c r="J65" s="102"/>
      <c r="K65" s="37"/>
      <c r="L65" s="545">
        <v>1</v>
      </c>
      <c r="M65" s="556">
        <v>31</v>
      </c>
      <c r="N65" s="555"/>
      <c r="O65" s="182"/>
      <c r="P65" s="183"/>
      <c r="Q65" s="183"/>
      <c r="R65" s="183"/>
      <c r="S65" s="109"/>
      <c r="T65" s="39">
        <v>79</v>
      </c>
      <c r="U65" s="39">
        <v>8</v>
      </c>
      <c r="W65" s="21"/>
    </row>
    <row r="66" spans="1:23" s="36" customFormat="1" ht="15.75" customHeight="1" x14ac:dyDescent="0.25">
      <c r="A66" s="227"/>
      <c r="B66" s="44" t="str">
        <f>CONCATENATE("69 Jahre (1.",O78,".",P78,")")</f>
        <v>69 Jahre (1.2.1969)</v>
      </c>
      <c r="C66" s="45"/>
      <c r="D66" s="44"/>
      <c r="E66" s="420" t="e">
        <f>#REF!</f>
        <v>#REF!</v>
      </c>
      <c r="F66" s="89" t="e">
        <f>IF(#REF!=1,"",#REF!/100)</f>
        <v>#REF!</v>
      </c>
      <c r="G66" s="86" t="e">
        <f>IF(#REF!=1,#REF!,#REF!)</f>
        <v>#REF!</v>
      </c>
      <c r="H66" s="420" t="e">
        <f t="shared" si="1"/>
        <v>#REF!</v>
      </c>
      <c r="I66" s="217"/>
      <c r="J66" s="115"/>
      <c r="K66" s="181"/>
      <c r="L66" s="547">
        <v>2</v>
      </c>
      <c r="M66" s="556">
        <v>28</v>
      </c>
      <c r="N66" s="238"/>
      <c r="O66" s="182"/>
      <c r="P66" s="183"/>
      <c r="Q66" s="183"/>
      <c r="R66" s="183"/>
      <c r="S66" s="109"/>
      <c r="T66" s="39">
        <v>80</v>
      </c>
      <c r="U66" s="39">
        <v>8</v>
      </c>
      <c r="W66" s="21"/>
    </row>
    <row r="67" spans="1:23" s="36" customFormat="1" ht="15.75" customHeight="1" x14ac:dyDescent="0.25">
      <c r="A67" s="227"/>
      <c r="B67" s="44" t="str">
        <f>CONCATENATE("70 Jahre (1.",O79,".",P79,")")</f>
        <v>70 Jahre (1.2.1970)</v>
      </c>
      <c r="C67" s="45"/>
      <c r="D67" s="44"/>
      <c r="E67" s="420" t="e">
        <f>#REF!</f>
        <v>#REF!</v>
      </c>
      <c r="F67" s="89" t="e">
        <f>IF(#REF!=1,"",#REF!/100)</f>
        <v>#REF!</v>
      </c>
      <c r="G67" s="86" t="e">
        <f>IF(#REF!=1,#REF!,#REF!)</f>
        <v>#REF!</v>
      </c>
      <c r="H67" s="420" t="e">
        <f t="shared" si="1"/>
        <v>#REF!</v>
      </c>
      <c r="I67" s="217"/>
      <c r="J67" s="213" t="e">
        <f>IF(K3=1,G62,G61)</f>
        <v>#REF!</v>
      </c>
      <c r="K67" s="181"/>
      <c r="L67" s="547">
        <v>3</v>
      </c>
      <c r="M67" s="38">
        <v>31</v>
      </c>
      <c r="N67" s="238"/>
      <c r="O67" s="240">
        <f t="shared" ref="O67:O79" si="2">IF(MONTH($E$11)=12,1,IF(MONTH($E$11)=11,12,IF(MONTH($E$11)=10,11,MONTH($E$11)+1)))</f>
        <v>2</v>
      </c>
      <c r="P67" s="182">
        <f>$J$10+58</f>
        <v>1958</v>
      </c>
      <c r="Q67" s="183"/>
      <c r="R67" s="183"/>
      <c r="S67" s="109"/>
      <c r="T67" s="39">
        <v>81</v>
      </c>
      <c r="U67" s="39">
        <v>8</v>
      </c>
      <c r="V67" s="38"/>
      <c r="W67" s="21"/>
    </row>
    <row r="68" spans="1:23" s="36" customFormat="1" ht="15.75" customHeight="1" x14ac:dyDescent="0.25">
      <c r="A68" s="227"/>
      <c r="B68" s="66"/>
      <c r="C68" s="66"/>
      <c r="D68" s="66"/>
      <c r="E68" s="505"/>
      <c r="F68" s="524"/>
      <c r="G68" s="217"/>
      <c r="H68" s="43"/>
      <c r="I68" s="47"/>
      <c r="J68" s="115"/>
      <c r="K68" s="181"/>
      <c r="L68" s="547">
        <v>4</v>
      </c>
      <c r="M68" s="38">
        <v>30</v>
      </c>
      <c r="N68" s="238"/>
      <c r="O68" s="240">
        <f t="shared" si="2"/>
        <v>2</v>
      </c>
      <c r="P68" s="182">
        <f>$J$10+59</f>
        <v>1959</v>
      </c>
      <c r="Q68" s="183"/>
      <c r="R68" s="183"/>
      <c r="S68" s="109"/>
      <c r="T68" s="39">
        <v>82</v>
      </c>
      <c r="U68" s="39">
        <v>8</v>
      </c>
      <c r="V68" s="38"/>
      <c r="W68" s="21"/>
    </row>
    <row r="69" spans="1:23" s="36" customFormat="1" ht="15.75" customHeight="1" x14ac:dyDescent="0.25">
      <c r="A69" s="227"/>
      <c r="B69" s="45" t="s">
        <v>90</v>
      </c>
      <c r="C69" s="45"/>
      <c r="D69" s="45"/>
      <c r="E69" s="59">
        <f>IF(AND(K3=1,F11&gt;65),0,IF(AND(K3=2,F11&gt;64),0,VLOOKUP(K39,L39:O52,4)))</f>
        <v>0</v>
      </c>
      <c r="F69" s="525" t="str">
        <f>CONCATENATE("nach ",VLOOKUP(K53,L53:M54,2),"n")</f>
        <v>nach 360 Tagen</v>
      </c>
      <c r="G69" s="420" t="e">
        <f>IF(J75&gt;J76,J75,J76)</f>
        <v>#REF!</v>
      </c>
      <c r="H69" s="420" t="e">
        <f>G69/12</f>
        <v>#REF!</v>
      </c>
      <c r="I69" s="217"/>
      <c r="J69" s="115"/>
      <c r="K69" s="181"/>
      <c r="L69" s="547">
        <v>5</v>
      </c>
      <c r="M69" s="38">
        <v>31</v>
      </c>
      <c r="N69" s="238"/>
      <c r="O69" s="240">
        <f t="shared" si="2"/>
        <v>2</v>
      </c>
      <c r="P69" s="182">
        <f>$J$10+60</f>
        <v>1960</v>
      </c>
      <c r="Q69" s="183"/>
      <c r="R69" s="183"/>
      <c r="S69" s="109"/>
      <c r="T69" s="39">
        <v>83</v>
      </c>
      <c r="U69" s="39">
        <v>8</v>
      </c>
      <c r="V69" s="38"/>
      <c r="W69" s="21"/>
    </row>
    <row r="70" spans="1:23" s="36" customFormat="1" ht="15.75" customHeight="1" x14ac:dyDescent="0.25">
      <c r="A70" s="227"/>
      <c r="B70" s="45" t="s">
        <v>71</v>
      </c>
      <c r="C70" s="45"/>
      <c r="D70" s="45"/>
      <c r="E70" s="77" t="s">
        <v>91</v>
      </c>
      <c r="F70" s="525" t="str">
        <f>CONCATENATE("nach ",VLOOKUP(K53,L53:M54,2),"n")</f>
        <v>nach 360 Tagen</v>
      </c>
      <c r="G70" s="420" t="e">
        <f>G69*20%</f>
        <v>#REF!</v>
      </c>
      <c r="H70" s="420" t="e">
        <f>G70/12</f>
        <v>#REF!</v>
      </c>
      <c r="I70" s="217"/>
      <c r="J70" s="115"/>
      <c r="K70" s="181"/>
      <c r="L70" s="547">
        <v>6</v>
      </c>
      <c r="M70" s="38">
        <v>30</v>
      </c>
      <c r="N70" s="238"/>
      <c r="O70" s="240">
        <f t="shared" si="2"/>
        <v>2</v>
      </c>
      <c r="P70" s="182">
        <f>$J$10+61</f>
        <v>1961</v>
      </c>
      <c r="Q70" s="183"/>
      <c r="R70" s="183"/>
      <c r="S70" s="109"/>
      <c r="T70" s="39">
        <v>84</v>
      </c>
      <c r="U70" s="39">
        <v>8</v>
      </c>
      <c r="V70" s="38"/>
      <c r="W70" s="21"/>
    </row>
    <row r="71" spans="1:23" ht="15.75" customHeight="1" x14ac:dyDescent="0.25">
      <c r="A71" s="227"/>
      <c r="B71" s="45"/>
      <c r="C71" s="45"/>
      <c r="D71" s="45"/>
      <c r="E71" s="77"/>
      <c r="F71" s="420"/>
      <c r="G71" s="420"/>
      <c r="H71" s="420"/>
      <c r="I71" s="217"/>
      <c r="J71" s="115"/>
      <c r="K71" s="181"/>
      <c r="L71" s="547">
        <v>7</v>
      </c>
      <c r="M71" s="38">
        <v>31</v>
      </c>
      <c r="N71" s="238"/>
      <c r="O71" s="240">
        <f t="shared" si="2"/>
        <v>2</v>
      </c>
      <c r="P71" s="182">
        <f>$J$10+62</f>
        <v>1962</v>
      </c>
      <c r="Q71" s="183"/>
      <c r="R71" s="183"/>
      <c r="T71" s="39">
        <v>85</v>
      </c>
      <c r="U71" s="39">
        <v>8</v>
      </c>
    </row>
    <row r="72" spans="1:23" ht="15.75" customHeight="1" x14ac:dyDescent="0.25">
      <c r="A72" s="227"/>
      <c r="B72" s="45" t="s">
        <v>72</v>
      </c>
      <c r="C72" s="45"/>
      <c r="D72" s="45"/>
      <c r="E72" s="77" t="str">
        <f>IF(AND(K3=1,F11&gt;65),"60% AltersR",IF(AND(K3=2,F11&gt;64),"60% AltersR","60% InvR"))</f>
        <v>60% AltersR</v>
      </c>
      <c r="F72" s="420"/>
      <c r="G72" s="420" t="e">
        <f>G69*60%</f>
        <v>#REF!</v>
      </c>
      <c r="H72" s="420" t="e">
        <f>G72/12</f>
        <v>#REF!</v>
      </c>
      <c r="I72" s="217"/>
      <c r="J72" s="115"/>
      <c r="K72" s="181"/>
      <c r="L72" s="547">
        <v>8</v>
      </c>
      <c r="M72" s="38">
        <v>31</v>
      </c>
      <c r="N72" s="238"/>
      <c r="O72" s="240">
        <f t="shared" si="2"/>
        <v>2</v>
      </c>
      <c r="P72" s="182">
        <f>$J$10+63</f>
        <v>1963</v>
      </c>
      <c r="Q72" s="183"/>
      <c r="R72" s="183"/>
      <c r="T72" s="39">
        <v>86</v>
      </c>
      <c r="U72" s="39">
        <v>8</v>
      </c>
    </row>
    <row r="73" spans="1:23" ht="15.75" customHeight="1" x14ac:dyDescent="0.25">
      <c r="A73" s="227"/>
      <c r="B73" s="45" t="s">
        <v>73</v>
      </c>
      <c r="C73" s="45"/>
      <c r="D73" s="45"/>
      <c r="E73" s="77" t="str">
        <f>IF(AND(K3=1,F11&gt;65),"60% AltersR",IF(AND(K3=2,F11&gt;64),"20% AltersR","20% InvR"))</f>
        <v>60% AltersR</v>
      </c>
      <c r="F73" s="420"/>
      <c r="G73" s="420" t="e">
        <f>G69*20%</f>
        <v>#REF!</v>
      </c>
      <c r="H73" s="420" t="e">
        <f>G73/12</f>
        <v>#REF!</v>
      </c>
      <c r="I73" s="217"/>
      <c r="K73" s="181"/>
      <c r="L73" s="547">
        <v>9</v>
      </c>
      <c r="M73" s="38">
        <v>30</v>
      </c>
      <c r="N73" s="238"/>
      <c r="O73" s="240">
        <f t="shared" si="2"/>
        <v>2</v>
      </c>
      <c r="P73" s="182">
        <f>$J$10+64</f>
        <v>1964</v>
      </c>
      <c r="Q73" s="183"/>
      <c r="R73" s="183"/>
      <c r="T73" s="39">
        <v>87</v>
      </c>
      <c r="U73" s="39">
        <v>8</v>
      </c>
    </row>
    <row r="74" spans="1:23" ht="15.75" customHeight="1" x14ac:dyDescent="0.25">
      <c r="A74" s="227"/>
      <c r="B74" s="45" t="s">
        <v>74</v>
      </c>
      <c r="C74" s="45"/>
      <c r="D74" s="45"/>
      <c r="E74" s="77" t="str">
        <f>IF(AND(K3=1,F11&gt;65),"30% AltersR",IF(AND(K3=2,F11&gt;64),"30% AltersR","30% InvR"))</f>
        <v>30% AltersR</v>
      </c>
      <c r="F74" s="420"/>
      <c r="G74" s="420" t="e">
        <f>G69*30%</f>
        <v>#REF!</v>
      </c>
      <c r="H74" s="420" t="e">
        <f>G74/12</f>
        <v>#REF!</v>
      </c>
      <c r="I74" s="217"/>
      <c r="J74" s="113">
        <f>YEAR(Versicherungsausweis!J15)-YEAR(E11)</f>
        <v>65</v>
      </c>
      <c r="K74" s="181"/>
      <c r="L74" s="547">
        <v>10</v>
      </c>
      <c r="M74" s="38">
        <v>31</v>
      </c>
      <c r="N74" s="238"/>
      <c r="O74" s="240">
        <f t="shared" si="2"/>
        <v>2</v>
      </c>
      <c r="P74" s="182">
        <f>$J$10+65</f>
        <v>1965</v>
      </c>
      <c r="Q74" s="183"/>
      <c r="R74" s="183"/>
      <c r="T74" s="39">
        <v>88</v>
      </c>
      <c r="U74" s="39">
        <v>8</v>
      </c>
    </row>
    <row r="75" spans="1:23" ht="15.75" customHeight="1" x14ac:dyDescent="0.25">
      <c r="A75" s="227"/>
      <c r="B75" s="45"/>
      <c r="C75" s="45"/>
      <c r="D75" s="45"/>
      <c r="E75" s="77"/>
      <c r="F75" s="420"/>
      <c r="G75" s="420"/>
      <c r="J75" s="354" t="e">
        <f>IF(K3=1,(E51+#REF!)*6.8%,(E51+#REF!)*6.8%)</f>
        <v>#REF!</v>
      </c>
      <c r="K75" s="181"/>
      <c r="L75" s="547">
        <v>11</v>
      </c>
      <c r="M75" s="38">
        <v>30</v>
      </c>
      <c r="N75" s="238"/>
      <c r="O75" s="240">
        <f t="shared" si="2"/>
        <v>2</v>
      </c>
      <c r="P75" s="182">
        <f>$J$10+66</f>
        <v>1966</v>
      </c>
      <c r="Q75" s="183"/>
      <c r="R75" s="183"/>
      <c r="T75" s="39">
        <v>89</v>
      </c>
      <c r="U75" s="39">
        <v>8</v>
      </c>
    </row>
    <row r="76" spans="1:23" ht="15.75" customHeight="1" thickBot="1" x14ac:dyDescent="0.3">
      <c r="A76" s="228"/>
      <c r="B76" s="45" t="s">
        <v>341</v>
      </c>
      <c r="C76" s="45"/>
      <c r="D76" s="45"/>
      <c r="E76" s="59" t="e">
        <f>VLOOKUP(K55,L55:O60,4)</f>
        <v>#VALUE!</v>
      </c>
      <c r="F76" s="86"/>
      <c r="G76" s="86" t="e">
        <f>IF(K55=1,0,IF(K55=6,"= Total AGH",LEFT(VLOOKUP(K55,L56:O59,4),4)*E23))</f>
        <v>#VALUE!</v>
      </c>
      <c r="J76" s="354" t="e">
        <f>IF(AND(K9=1,K14=2,K17=2,K24=1,K36=1,K39=1,K55=1),(E50+#REF!)*(VLOOKUP(J74,#REF!,14))%,IF(AND(K39=1),(E51+#REF!)*(VLOOKUP(J74,#REF!,14))%,E23*LEFT(E69,4)))</f>
        <v>#VALUE!</v>
      </c>
      <c r="K76" s="181"/>
      <c r="L76" s="551">
        <v>12</v>
      </c>
      <c r="M76" s="38">
        <v>31</v>
      </c>
      <c r="N76" s="238"/>
      <c r="O76" s="240">
        <f t="shared" si="2"/>
        <v>2</v>
      </c>
      <c r="P76" s="182">
        <f>$J$10+67</f>
        <v>1967</v>
      </c>
      <c r="Q76" s="183"/>
      <c r="R76" s="183"/>
      <c r="T76" s="39">
        <v>90</v>
      </c>
      <c r="U76" s="39">
        <v>8</v>
      </c>
    </row>
    <row r="77" spans="1:23" ht="15.75" customHeight="1" x14ac:dyDescent="0.25">
      <c r="B77" s="60"/>
      <c r="C77" s="61"/>
      <c r="K77" s="540">
        <v>2</v>
      </c>
      <c r="L77" s="558">
        <v>1</v>
      </c>
      <c r="M77" s="559" t="s">
        <v>406</v>
      </c>
      <c r="N77" s="238"/>
      <c r="O77" s="240">
        <f t="shared" si="2"/>
        <v>2</v>
      </c>
      <c r="P77" s="182">
        <f>$J$10+68</f>
        <v>1968</v>
      </c>
      <c r="Q77" s="183"/>
      <c r="R77" s="183"/>
      <c r="T77" s="39">
        <v>91</v>
      </c>
      <c r="U77" s="39">
        <v>8</v>
      </c>
    </row>
    <row r="78" spans="1:23" ht="15.75" customHeight="1" thickBot="1" x14ac:dyDescent="0.3">
      <c r="B78" s="330" t="s">
        <v>155</v>
      </c>
      <c r="C78" s="331"/>
      <c r="D78" s="332"/>
      <c r="E78" s="495"/>
      <c r="F78" s="495"/>
      <c r="G78" s="495"/>
      <c r="H78" s="495"/>
      <c r="I78" s="241"/>
      <c r="K78" s="305"/>
      <c r="L78" s="543">
        <v>2</v>
      </c>
      <c r="M78" s="100" t="s">
        <v>44</v>
      </c>
      <c r="N78" s="236"/>
      <c r="O78" s="240">
        <f t="shared" si="2"/>
        <v>2</v>
      </c>
      <c r="P78" s="182">
        <f>$J$10+69</f>
        <v>1969</v>
      </c>
      <c r="T78" s="39">
        <v>92</v>
      </c>
      <c r="U78" s="39">
        <v>8</v>
      </c>
    </row>
    <row r="79" spans="1:23" ht="15.75" customHeight="1" x14ac:dyDescent="0.25">
      <c r="K79" s="180"/>
      <c r="L79" s="105"/>
      <c r="M79" s="105"/>
      <c r="N79" s="211"/>
      <c r="O79" s="240">
        <f t="shared" si="2"/>
        <v>2</v>
      </c>
      <c r="P79" s="182">
        <f>$J$10+70</f>
        <v>1970</v>
      </c>
      <c r="T79" s="39">
        <v>93</v>
      </c>
      <c r="U79" s="39">
        <v>8</v>
      </c>
    </row>
    <row r="80" spans="1:23" ht="15.75" customHeight="1" x14ac:dyDescent="0.25">
      <c r="A80" s="227"/>
      <c r="B80" s="44" t="s">
        <v>105</v>
      </c>
      <c r="C80" s="45"/>
      <c r="D80" s="44"/>
      <c r="E80" s="526" t="e">
        <f>IF(K2&gt;64,VLOOKUP(65,'Tabellen L'!A96:I135,Input!K24+1),VLOOKUP(K2,'Tabellen L'!A96:I135,Input!K24+1))</f>
        <v>#VALUE!</v>
      </c>
      <c r="K80" s="38" t="s">
        <v>70</v>
      </c>
      <c r="L80" s="105"/>
      <c r="M80" s="105"/>
      <c r="N80" s="211"/>
      <c r="O80" s="105"/>
      <c r="T80" s="39">
        <v>94</v>
      </c>
      <c r="U80" s="39">
        <v>8</v>
      </c>
    </row>
    <row r="81" spans="1:23" ht="15.75" customHeight="1" x14ac:dyDescent="0.25">
      <c r="A81" s="227"/>
      <c r="B81" s="44" t="s">
        <v>106</v>
      </c>
      <c r="C81" s="45"/>
      <c r="D81" s="44"/>
      <c r="E81" s="526" t="e">
        <f>IF(K2&gt;64,VLOOKUP(65,'Tabellen L'!A96:I135,Input!K36+6),VLOOKUP(K2,'Tabellen L'!A96:I135,Input!K36+6))</f>
        <v>#VALUE!</v>
      </c>
      <c r="K81" s="106" t="s">
        <v>1</v>
      </c>
      <c r="L81" s="105"/>
      <c r="M81" s="105"/>
      <c r="T81" s="39">
        <v>95</v>
      </c>
      <c r="U81" s="39">
        <v>8</v>
      </c>
    </row>
    <row r="82" spans="1:23" ht="15.75" customHeight="1" x14ac:dyDescent="0.25">
      <c r="A82" s="227"/>
      <c r="B82" s="58" t="s">
        <v>104</v>
      </c>
      <c r="C82" s="52"/>
      <c r="D82" s="58"/>
      <c r="E82" s="351" t="e">
        <f>IF(J88&lt;0,0,J88)</f>
        <v>#VALUE!</v>
      </c>
      <c r="F82" s="527" t="str">
        <f>IF(AND(F11&gt;65,K3=1),"   bitte mit Steuerbehörde abklären!",IF(AND(F11&gt;64,K3=2),"   bitte mit Steuerbehörde abklären!",""))</f>
        <v xml:space="preserve">   bitte mit Steuerbehörde abklären!</v>
      </c>
      <c r="K82" s="106"/>
      <c r="L82" s="105"/>
      <c r="M82" s="105"/>
      <c r="T82" s="39">
        <v>96</v>
      </c>
      <c r="U82" s="39">
        <v>8</v>
      </c>
    </row>
    <row r="83" spans="1:23" ht="15.75" customHeight="1" x14ac:dyDescent="0.25">
      <c r="A83" s="228"/>
      <c r="I83" s="218"/>
      <c r="T83" s="39">
        <v>97</v>
      </c>
      <c r="U83" s="39">
        <v>8</v>
      </c>
    </row>
    <row r="84" spans="1:23" ht="15.75" customHeight="1" x14ac:dyDescent="0.25">
      <c r="A84" s="55" t="s">
        <v>338</v>
      </c>
      <c r="B84" s="44" t="s">
        <v>405</v>
      </c>
      <c r="C84" s="45"/>
      <c r="D84" s="44"/>
      <c r="E84" s="714"/>
      <c r="F84" s="714"/>
      <c r="I84" s="218"/>
      <c r="T84" s="39">
        <v>98</v>
      </c>
      <c r="U84" s="39">
        <v>8</v>
      </c>
    </row>
    <row r="85" spans="1:23" ht="15.75" customHeight="1" x14ac:dyDescent="0.25">
      <c r="A85" s="55" t="s">
        <v>339</v>
      </c>
      <c r="B85" s="44" t="s">
        <v>0</v>
      </c>
      <c r="C85" s="45"/>
      <c r="D85" s="44"/>
      <c r="E85" s="712" t="s">
        <v>466</v>
      </c>
      <c r="F85" s="712"/>
      <c r="I85" s="218"/>
      <c r="K85" s="107"/>
      <c r="T85" s="39">
        <v>99</v>
      </c>
      <c r="U85" s="39">
        <v>8</v>
      </c>
      <c r="W85" s="421"/>
    </row>
    <row r="86" spans="1:23" ht="15.75" customHeight="1" x14ac:dyDescent="0.25">
      <c r="A86" s="55" t="s">
        <v>404</v>
      </c>
      <c r="B86" s="44" t="s">
        <v>216</v>
      </c>
      <c r="C86" s="45"/>
      <c r="D86" s="44"/>
      <c r="E86" s="713" t="s">
        <v>465</v>
      </c>
      <c r="F86" s="713"/>
      <c r="I86" s="218"/>
      <c r="K86" s="107"/>
      <c r="T86" s="39">
        <v>100</v>
      </c>
      <c r="U86" s="39">
        <v>8</v>
      </c>
      <c r="W86" s="421"/>
    </row>
    <row r="87" spans="1:23" ht="15.75" customHeight="1" x14ac:dyDescent="0.25">
      <c r="A87" s="55" t="s">
        <v>407</v>
      </c>
      <c r="B87" s="44" t="s">
        <v>217</v>
      </c>
      <c r="C87" s="45"/>
      <c r="D87" s="44"/>
      <c r="E87" s="713" t="s">
        <v>218</v>
      </c>
      <c r="F87" s="713"/>
      <c r="I87" s="218"/>
      <c r="K87" s="242"/>
      <c r="W87" s="421"/>
    </row>
    <row r="88" spans="1:23" ht="15.75" customHeight="1" x14ac:dyDescent="0.25">
      <c r="A88" s="55" t="s">
        <v>215</v>
      </c>
      <c r="B88" s="44" t="str">
        <f ca="1">CONCATENATE("Erstellt am ",TEXT(TODAY(),"T.M.JJJJ"),"; anderes:")</f>
        <v>Erstellt am 24.2.2026; anderes:</v>
      </c>
      <c r="C88" s="45"/>
      <c r="D88" s="44"/>
      <c r="E88" s="711"/>
      <c r="F88" s="711"/>
      <c r="G88" s="353"/>
      <c r="H88" s="47"/>
      <c r="I88" s="218"/>
      <c r="J88" s="94" t="e">
        <f>IF(((E80+E81)*E18-J56)&lt;0,0,(E80+E81)*E23-J56)</f>
        <v>#VALUE!</v>
      </c>
      <c r="W88" s="421"/>
    </row>
    <row r="89" spans="1:23" ht="15.75" customHeight="1" x14ac:dyDescent="0.25">
      <c r="I89" s="218"/>
    </row>
    <row r="90" spans="1:23" ht="15.75" customHeight="1" x14ac:dyDescent="0.25">
      <c r="A90" s="55" t="s">
        <v>340</v>
      </c>
      <c r="H90" s="528" t="s">
        <v>462</v>
      </c>
      <c r="I90" s="218"/>
    </row>
    <row r="92" spans="1:23" ht="15.75" customHeight="1" x14ac:dyDescent="0.25">
      <c r="J92" s="352">
        <f ca="1">IF(E88="",TODAY(),E88)</f>
        <v>46077</v>
      </c>
    </row>
    <row r="93" spans="1:23" ht="15.75" customHeight="1" x14ac:dyDescent="0.25">
      <c r="N93" s="236"/>
      <c r="O93" s="38"/>
    </row>
    <row r="94" spans="1:23" ht="15.75" customHeight="1" x14ac:dyDescent="0.25">
      <c r="K94" s="102"/>
      <c r="N94" s="236"/>
      <c r="O94" s="38"/>
    </row>
    <row r="98" spans="11:11" ht="15.75" customHeight="1" x14ac:dyDescent="0.25">
      <c r="K98" s="102"/>
    </row>
  </sheetData>
  <sheetProtection algorithmName="SHA-512" hashValue="9VLNMTGzHzsqmAtylCu/uDCV6Qsrqg16oUdPkBdiiGZ0nuvY+iT/pEU4sxj4yJdKcCnSavVFnXdX5J43Qifl/w==" saltValue="jAu+J8vorgOjdu1IuzBbVg==" spinCount="100000" sheet="1" objects="1" scenarios="1" selectLockedCells="1"/>
  <mergeCells count="10">
    <mergeCell ref="E88:F88"/>
    <mergeCell ref="E6:G6"/>
    <mergeCell ref="E7:F7"/>
    <mergeCell ref="E87:F87"/>
    <mergeCell ref="E85:F85"/>
    <mergeCell ref="E8:F8"/>
    <mergeCell ref="E9:F9"/>
    <mergeCell ref="E10:F10"/>
    <mergeCell ref="E84:F84"/>
    <mergeCell ref="E86:F86"/>
  </mergeCells>
  <phoneticPr fontId="2" type="noConversion"/>
  <conditionalFormatting sqref="H69:I74 F69:G70 E70">
    <cfRule type="expression" dxfId="17" priority="1" stopIfTrue="1">
      <formula>$E$70=0</formula>
    </cfRule>
  </conditionalFormatting>
  <conditionalFormatting sqref="B62:I62">
    <cfRule type="expression" dxfId="16" priority="2" stopIfTrue="1">
      <formula>$K$3=1</formula>
    </cfRule>
  </conditionalFormatting>
  <conditionalFormatting sqref="B61:I61">
    <cfRule type="expression" dxfId="15" priority="3" stopIfTrue="1">
      <formula>$K$3=2</formula>
    </cfRule>
  </conditionalFormatting>
  <conditionalFormatting sqref="J60:J64 J66:J72">
    <cfRule type="cellIs" dxfId="14" priority="4" stopIfTrue="1" operator="greaterThan">
      <formula>#REF!</formula>
    </cfRule>
  </conditionalFormatting>
  <conditionalFormatting sqref="E40 E42:E43 E38 F43:G43">
    <cfRule type="cellIs" dxfId="13" priority="5" stopIfTrue="1" operator="equal">
      <formula>0</formula>
    </cfRule>
  </conditionalFormatting>
  <conditionalFormatting sqref="B43:C43">
    <cfRule type="expression" dxfId="12" priority="6" stopIfTrue="1">
      <formula>$F$43&lt;0.05</formula>
    </cfRule>
  </conditionalFormatting>
  <conditionalFormatting sqref="D43">
    <cfRule type="expression" dxfId="11" priority="7" stopIfTrue="1">
      <formula>$J$42&lt;0.05</formula>
    </cfRule>
  </conditionalFormatting>
  <conditionalFormatting sqref="B22:D22">
    <cfRule type="expression" dxfId="10" priority="8" stopIfTrue="1">
      <formula>$K$9=2</formula>
    </cfRule>
  </conditionalFormatting>
  <conditionalFormatting sqref="E52">
    <cfRule type="expression" dxfId="9" priority="9" stopIfTrue="1">
      <formula>$G$52&lt;&gt;""</formula>
    </cfRule>
  </conditionalFormatting>
  <conditionalFormatting sqref="E22">
    <cfRule type="expression" dxfId="8" priority="12" stopIfTrue="1">
      <formula>K9=2</formula>
    </cfRule>
  </conditionalFormatting>
  <conditionalFormatting sqref="E69">
    <cfRule type="expression" dxfId="7" priority="29" stopIfTrue="1">
      <formula>$E$70=0</formula>
    </cfRule>
    <cfRule type="expression" dxfId="6" priority="30" stopIfTrue="1">
      <formula>$J$75&gt;$J$76</formula>
    </cfRule>
  </conditionalFormatting>
  <dataValidations count="1">
    <dataValidation operator="greaterThan" allowBlank="1" showInputMessage="1" showErrorMessage="1" error="Frühestens ab 1.1.2012" sqref="E14" xr:uid="{00000000-0002-0000-0300-000000000000}"/>
  </dataValidations>
  <pageMargins left="0.59055118110236227" right="0.59055118110236227" top="0.39370078740157483" bottom="0.19685039370078741" header="0.51181102362204722" footer="0.51181102362204722"/>
  <pageSetup paperSize="9" orientation="portrait" r:id="rId1"/>
  <headerFooter alignWithMargins="0"/>
  <customProperties>
    <customPr name="SSCSheetTrackingNo" r:id="rId2"/>
  </customProperties>
  <ignoredErrors>
    <ignoredError sqref="E1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 r:id="rId5" name="Drop Down 2">
              <controlPr defaultSize="0" autoLine="0" autoPict="0">
                <anchor moveWithCells="1">
                  <from>
                    <xdr:col>4</xdr:col>
                    <xdr:colOff>0</xdr:colOff>
                    <xdr:row>26</xdr:row>
                    <xdr:rowOff>0</xdr:rowOff>
                  </from>
                  <to>
                    <xdr:col>6</xdr:col>
                    <xdr:colOff>0</xdr:colOff>
                    <xdr:row>27</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0</xdr:colOff>
                    <xdr:row>27</xdr:row>
                    <xdr:rowOff>0</xdr:rowOff>
                  </from>
                  <to>
                    <xdr:col>6</xdr:col>
                    <xdr:colOff>0</xdr:colOff>
                    <xdr:row>28</xdr:row>
                    <xdr:rowOff>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0</xdr:colOff>
                    <xdr:row>28</xdr:row>
                    <xdr:rowOff>0</xdr:rowOff>
                  </from>
                  <to>
                    <xdr:col>6</xdr:col>
                    <xdr:colOff>0</xdr:colOff>
                    <xdr:row>29</xdr:row>
                    <xdr:rowOff>0</xdr:rowOff>
                  </to>
                </anchor>
              </controlPr>
            </control>
          </mc:Choice>
        </mc:AlternateContent>
        <mc:AlternateContent xmlns:mc="http://schemas.openxmlformats.org/markup-compatibility/2006">
          <mc:Choice Requires="x14">
            <control shapeId="1030" r:id="rId8" name="Drop Down 6">
              <controlPr defaultSize="0" autoLine="0" autoPict="0">
                <anchor moveWithCells="1">
                  <from>
                    <xdr:col>4</xdr:col>
                    <xdr:colOff>0</xdr:colOff>
                    <xdr:row>30</xdr:row>
                    <xdr:rowOff>0</xdr:rowOff>
                  </from>
                  <to>
                    <xdr:col>6</xdr:col>
                    <xdr:colOff>0</xdr:colOff>
                    <xdr:row>31</xdr:row>
                    <xdr:rowOff>0</xdr:rowOff>
                  </to>
                </anchor>
              </controlPr>
            </control>
          </mc:Choice>
        </mc:AlternateContent>
        <mc:AlternateContent xmlns:mc="http://schemas.openxmlformats.org/markup-compatibility/2006">
          <mc:Choice Requires="x14">
            <control shapeId="1031" r:id="rId9" name="Drop Down 7">
              <controlPr defaultSize="0" autoLine="0" autoPict="0" macro="[0]!Dropdown7_BeiÄnderung">
                <anchor moveWithCells="1">
                  <from>
                    <xdr:col>4</xdr:col>
                    <xdr:colOff>0</xdr:colOff>
                    <xdr:row>18</xdr:row>
                    <xdr:rowOff>0</xdr:rowOff>
                  </from>
                  <to>
                    <xdr:col>6</xdr:col>
                    <xdr:colOff>0</xdr:colOff>
                    <xdr:row>19</xdr:row>
                    <xdr:rowOff>0</xdr:rowOff>
                  </to>
                </anchor>
              </controlPr>
            </control>
          </mc:Choice>
        </mc:AlternateContent>
        <mc:AlternateContent xmlns:mc="http://schemas.openxmlformats.org/markup-compatibility/2006">
          <mc:Choice Requires="x14">
            <control shapeId="1032" r:id="rId10" name="Drop Down 8">
              <controlPr defaultSize="0" autoLine="0" autoPict="0">
                <anchor moveWithCells="1">
                  <from>
                    <xdr:col>4</xdr:col>
                    <xdr:colOff>0</xdr:colOff>
                    <xdr:row>11</xdr:row>
                    <xdr:rowOff>0</xdr:rowOff>
                  </from>
                  <to>
                    <xdr:col>6</xdr:col>
                    <xdr:colOff>0</xdr:colOff>
                    <xdr:row>12</xdr:row>
                    <xdr:rowOff>0</xdr:rowOff>
                  </to>
                </anchor>
              </controlPr>
            </control>
          </mc:Choice>
        </mc:AlternateContent>
        <mc:AlternateContent xmlns:mc="http://schemas.openxmlformats.org/markup-compatibility/2006">
          <mc:Choice Requires="x14">
            <control shapeId="1033" r:id="rId11" name="Drop Down 9">
              <controlPr defaultSize="0" autoLine="0" autoPict="0">
                <anchor moveWithCells="1">
                  <from>
                    <xdr:col>4</xdr:col>
                    <xdr:colOff>0</xdr:colOff>
                    <xdr:row>31</xdr:row>
                    <xdr:rowOff>0</xdr:rowOff>
                  </from>
                  <to>
                    <xdr:col>6</xdr:col>
                    <xdr:colOff>0</xdr:colOff>
                    <xdr:row>32</xdr:row>
                    <xdr:rowOff>0</xdr:rowOff>
                  </to>
                </anchor>
              </controlPr>
            </control>
          </mc:Choice>
        </mc:AlternateContent>
        <mc:AlternateContent xmlns:mc="http://schemas.openxmlformats.org/markup-compatibility/2006">
          <mc:Choice Requires="x14">
            <control shapeId="1035" r:id="rId12" name="Drop Down 11">
              <controlPr defaultSize="0" autoLine="0" autoPict="0">
                <anchor moveWithCells="1">
                  <from>
                    <xdr:col>4</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1038" r:id="rId13" name="Drop Down 14">
              <controlPr defaultSize="0" autoLine="0" autoPict="0">
                <anchor moveWithCells="1">
                  <from>
                    <xdr:col>4</xdr:col>
                    <xdr:colOff>0</xdr:colOff>
                    <xdr:row>19</xdr:row>
                    <xdr:rowOff>0</xdr:rowOff>
                  </from>
                  <to>
                    <xdr:col>6</xdr:col>
                    <xdr:colOff>0</xdr:colOff>
                    <xdr:row>20</xdr:row>
                    <xdr:rowOff>0</xdr:rowOff>
                  </to>
                </anchor>
              </controlPr>
            </control>
          </mc:Choice>
        </mc:AlternateContent>
        <mc:AlternateContent xmlns:mc="http://schemas.openxmlformats.org/markup-compatibility/2006">
          <mc:Choice Requires="x14">
            <control shapeId="1039" r:id="rId14" name="Drop Down 15">
              <controlPr defaultSize="0" autoLine="0" autoPict="0">
                <anchor moveWithCells="1">
                  <from>
                    <xdr:col>4</xdr:col>
                    <xdr:colOff>0</xdr:colOff>
                    <xdr:row>20</xdr:row>
                    <xdr:rowOff>0</xdr:rowOff>
                  </from>
                  <to>
                    <xdr:col>6</xdr:col>
                    <xdr:colOff>0</xdr:colOff>
                    <xdr:row>21</xdr:row>
                    <xdr:rowOff>0</xdr:rowOff>
                  </to>
                </anchor>
              </controlPr>
            </control>
          </mc:Choice>
        </mc:AlternateContent>
        <mc:AlternateContent xmlns:mc="http://schemas.openxmlformats.org/markup-compatibility/2006">
          <mc:Choice Requires="x14">
            <control shapeId="1049" r:id="rId15" name="Drop Down 25">
              <controlPr defaultSize="0" autoLine="0" autoPict="0">
                <anchor moveWithCells="1">
                  <from>
                    <xdr:col>4</xdr:col>
                    <xdr:colOff>0</xdr:colOff>
                    <xdr:row>12</xdr:row>
                    <xdr:rowOff>0</xdr:rowOff>
                  </from>
                  <to>
                    <xdr:col>6</xdr:col>
                    <xdr:colOff>0</xdr:colOff>
                    <xdr:row>13</xdr:row>
                    <xdr:rowOff>0</xdr:rowOff>
                  </to>
                </anchor>
              </controlPr>
            </control>
          </mc:Choice>
        </mc:AlternateContent>
        <mc:AlternateContent xmlns:mc="http://schemas.openxmlformats.org/markup-compatibility/2006">
          <mc:Choice Requires="x14">
            <control shapeId="1052" r:id="rId16" name="Drop Down 28">
              <controlPr defaultSize="0" autoLine="0" autoPict="0">
                <anchor moveWithCells="1">
                  <from>
                    <xdr:col>3</xdr:col>
                    <xdr:colOff>1668780</xdr:colOff>
                    <xdr:row>83</xdr:row>
                    <xdr:rowOff>0</xdr:rowOff>
                  </from>
                  <to>
                    <xdr:col>5</xdr:col>
                    <xdr:colOff>822960</xdr:colOff>
                    <xdr:row>84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sheetPr>
  <dimension ref="A1:R46"/>
  <sheetViews>
    <sheetView showGridLines="0" zoomScale="150" workbookViewId="0">
      <selection activeCell="V11" sqref="V11"/>
    </sheetView>
  </sheetViews>
  <sheetFormatPr baseColWidth="10" defaultColWidth="11.44140625" defaultRowHeight="12.6" x14ac:dyDescent="0.25"/>
  <cols>
    <col min="1" max="1" width="4.88671875" style="91" customWidth="1"/>
    <col min="2" max="2" width="25" style="92" customWidth="1"/>
    <col min="3" max="3" width="4.5546875" style="92" customWidth="1"/>
    <col min="4" max="4" width="14.33203125" style="92" customWidth="1"/>
    <col min="5" max="5" width="4.109375" style="92" customWidth="1"/>
    <col min="6" max="6" width="4.5546875" style="92" customWidth="1"/>
    <col min="7" max="7" width="13.44140625" style="93" customWidth="1"/>
    <col min="8" max="8" width="3.88671875" style="92" customWidth="1"/>
    <col min="9" max="9" width="4.5546875" style="92" customWidth="1"/>
    <col min="10" max="10" width="13.109375" style="93" customWidth="1"/>
    <col min="11" max="11" width="4.44140625" style="346" hidden="1" customWidth="1"/>
    <col min="12" max="17" width="9" style="372" hidden="1" customWidth="1"/>
    <col min="18" max="18" width="4.109375" style="229" hidden="1" customWidth="1"/>
    <col min="19" max="16384" width="11.44140625" style="92"/>
  </cols>
  <sheetData>
    <row r="1" spans="1:18" x14ac:dyDescent="0.25">
      <c r="K1" s="239"/>
    </row>
    <row r="2" spans="1:18" x14ac:dyDescent="0.25">
      <c r="K2" s="239"/>
    </row>
    <row r="3" spans="1:18" x14ac:dyDescent="0.25">
      <c r="K3" s="239"/>
    </row>
    <row r="4" spans="1:18" x14ac:dyDescent="0.25">
      <c r="K4" s="239"/>
      <c r="L4" s="474" t="s">
        <v>416</v>
      </c>
      <c r="M4" s="474"/>
    </row>
    <row r="5" spans="1:18" x14ac:dyDescent="0.25">
      <c r="K5" s="239"/>
      <c r="L5" s="473" t="str">
        <f>J15</f>
        <v>1.2.1965</v>
      </c>
      <c r="M5" s="473"/>
    </row>
    <row r="6" spans="1:18" x14ac:dyDescent="0.25">
      <c r="K6" s="239"/>
      <c r="L6" s="476">
        <f>L5*1</f>
        <v>23774</v>
      </c>
      <c r="M6" s="476"/>
    </row>
    <row r="7" spans="1:18" ht="17.399999999999999" x14ac:dyDescent="0.3">
      <c r="A7" s="108" t="str">
        <f>IF(Input!K77=2,"Beiträge","Offerte")</f>
        <v>Beiträge</v>
      </c>
      <c r="J7" s="437">
        <f>Input!E6</f>
        <v>0</v>
      </c>
      <c r="K7" s="239"/>
      <c r="L7" s="475" t="s">
        <v>417</v>
      </c>
      <c r="M7" s="475"/>
    </row>
    <row r="8" spans="1:18" s="112" customFormat="1" ht="17.25" customHeight="1" x14ac:dyDescent="0.2">
      <c r="A8" s="717" t="str">
        <f>IF(L10=1,"Sie haben das AHV-Alter überschritten, bitte wenden Sie sich an die PAT-BVG!","")</f>
        <v>Sie haben das AHV-Alter überschritten, bitte wenden Sie sich an die PAT-BVG!</v>
      </c>
      <c r="B8" s="717"/>
      <c r="C8" s="717"/>
      <c r="D8" s="717"/>
      <c r="E8" s="717"/>
      <c r="F8" s="717"/>
      <c r="G8" s="717"/>
      <c r="H8" s="717"/>
      <c r="I8" s="717"/>
      <c r="J8" s="717"/>
      <c r="K8" s="419"/>
      <c r="L8" s="472">
        <f>Input!E14</f>
        <v>46023</v>
      </c>
      <c r="M8" s="472"/>
      <c r="N8" s="36"/>
      <c r="O8" s="36"/>
      <c r="P8" s="36"/>
      <c r="Q8" s="36"/>
      <c r="R8" s="369"/>
    </row>
    <row r="9" spans="1:18" s="329" customFormat="1" ht="11.25" customHeight="1" x14ac:dyDescent="0.2">
      <c r="A9" s="436" t="s">
        <v>103</v>
      </c>
      <c r="B9" s="432"/>
      <c r="C9" s="432"/>
      <c r="D9" s="436" t="s">
        <v>419</v>
      </c>
      <c r="E9" s="438" t="s">
        <v>420</v>
      </c>
      <c r="F9" s="434" t="s">
        <v>415</v>
      </c>
      <c r="G9" s="433"/>
      <c r="H9" s="441" t="s">
        <v>422</v>
      </c>
      <c r="I9" s="442" t="s">
        <v>17</v>
      </c>
      <c r="J9" s="435" t="s">
        <v>423</v>
      </c>
      <c r="K9" s="239"/>
      <c r="L9" s="477">
        <f>L8*1</f>
        <v>46023</v>
      </c>
      <c r="M9" s="477"/>
      <c r="R9" s="366"/>
    </row>
    <row r="10" spans="1:18" s="279" customFormat="1" ht="11.25" customHeight="1" x14ac:dyDescent="0.25">
      <c r="A10" s="426" t="e">
        <f>CONCATENATE(Wertebereich!V17," / ",Wertebereich!U10)</f>
        <v>#VALUE!</v>
      </c>
      <c r="B10" s="426"/>
      <c r="C10" s="426"/>
      <c r="D10" s="426" t="str">
        <f>VLOOKUP(Input!K5,Input!L5:O8,4)</f>
        <v>AN</v>
      </c>
      <c r="E10" s="439" t="e">
        <f>Wertebereich!W17</f>
        <v>#VALUE!</v>
      </c>
      <c r="F10" s="718" t="e">
        <f>Wertebereich!V11</f>
        <v>#VALUE!</v>
      </c>
      <c r="G10" s="718"/>
      <c r="H10" s="431">
        <f>Wertebereich!V19</f>
        <v>0</v>
      </c>
      <c r="I10" s="430" t="e">
        <f>Wertebereich!V20</f>
        <v>#VALUE!</v>
      </c>
      <c r="J10" s="429" t="e">
        <f>Wertebereich!W10</f>
        <v>#VALUE!</v>
      </c>
      <c r="K10" s="239"/>
      <c r="L10" s="373">
        <f>IF(L9&gt;=L6,1,0)</f>
        <v>1</v>
      </c>
      <c r="M10" s="373"/>
      <c r="N10" s="373"/>
      <c r="O10" s="373"/>
      <c r="P10" s="373"/>
      <c r="Q10" s="373"/>
      <c r="R10" s="356"/>
    </row>
    <row r="11" spans="1:18" s="326" customFormat="1" ht="15" x14ac:dyDescent="0.25">
      <c r="A11" s="280"/>
      <c r="B11" s="279"/>
      <c r="C11" s="279"/>
      <c r="D11" s="279"/>
      <c r="E11" s="279"/>
      <c r="F11" s="279"/>
      <c r="G11" s="279"/>
      <c r="H11" s="279"/>
      <c r="I11" s="279"/>
      <c r="J11" s="279"/>
      <c r="K11" s="239"/>
      <c r="L11" s="372"/>
      <c r="M11" s="372"/>
      <c r="N11" s="372"/>
      <c r="O11" s="372"/>
      <c r="P11" s="372"/>
      <c r="Q11" s="372"/>
      <c r="R11" s="367"/>
    </row>
    <row r="12" spans="1:18" s="314" customFormat="1" ht="15.75" customHeight="1" x14ac:dyDescent="0.3">
      <c r="A12" s="325" t="s">
        <v>145</v>
      </c>
      <c r="B12" s="334" t="s">
        <v>153</v>
      </c>
      <c r="C12" s="334"/>
      <c r="D12" s="334"/>
      <c r="E12" s="335"/>
      <c r="F12" s="335"/>
      <c r="G12" s="336"/>
      <c r="H12" s="335"/>
      <c r="I12" s="335"/>
      <c r="J12" s="337"/>
      <c r="K12" s="239"/>
      <c r="L12" s="372"/>
      <c r="M12" s="372"/>
      <c r="N12" s="372"/>
      <c r="O12" s="372"/>
      <c r="P12" s="372"/>
      <c r="Q12" s="372"/>
      <c r="R12" s="368"/>
    </row>
    <row r="13" spans="1:18" s="314" customFormat="1" ht="18.75" customHeight="1" x14ac:dyDescent="0.25">
      <c r="A13" s="317" t="s">
        <v>148</v>
      </c>
      <c r="B13" s="314" t="s">
        <v>413</v>
      </c>
      <c r="G13" s="315"/>
      <c r="J13" s="318" t="str">
        <f>CONCATENATE(Input!E7," ",Input!E9," ",Input!E8)</f>
        <v xml:space="preserve">  </v>
      </c>
      <c r="K13" s="239"/>
      <c r="L13" s="372"/>
      <c r="M13" s="372"/>
      <c r="N13" s="372"/>
      <c r="O13" s="372"/>
      <c r="P13" s="372"/>
      <c r="Q13" s="372"/>
      <c r="R13" s="368"/>
    </row>
    <row r="14" spans="1:18" s="314" customFormat="1" ht="13.2" x14ac:dyDescent="0.25">
      <c r="A14" s="317" t="s">
        <v>149</v>
      </c>
      <c r="B14" s="314" t="str">
        <f>IF(Input!E10&lt;&gt;"","AHV-Nr. / Geburtsdatum / Alter","Geburtsdatum / Alter")</f>
        <v>Geburtsdatum / Alter</v>
      </c>
      <c r="D14" s="320"/>
      <c r="G14" s="315"/>
      <c r="J14" s="318" t="str">
        <f>IF(Input!E10&lt;&gt;"",CONCATENATE(Input!E10," / ",TEXT(Input!E11,"T.M.JJJJ")," / ",Input!F11),CONCATENATE(TEXT(Input!E11,"T.M.JJJJ")," / ",Input!F11))</f>
        <v>0.1.1900 / 126</v>
      </c>
      <c r="K14" s="239"/>
      <c r="L14" s="372"/>
      <c r="M14" s="372"/>
      <c r="N14" s="372"/>
      <c r="O14" s="372"/>
      <c r="P14" s="372"/>
      <c r="Q14" s="372"/>
      <c r="R14" s="368"/>
    </row>
    <row r="15" spans="1:18" s="314" customFormat="1" ht="13.2" x14ac:dyDescent="0.25">
      <c r="A15" s="317" t="s">
        <v>150</v>
      </c>
      <c r="B15" s="314" t="s">
        <v>266</v>
      </c>
      <c r="G15" s="315"/>
      <c r="J15" s="318" t="str">
        <f>IF(Input!K3=1,CONCATENATE("1.",Input!O67,".",L15+65),CONCATENATE("1.",Input!O67,".",L15+64))</f>
        <v>1.2.1965</v>
      </c>
      <c r="K15" s="319"/>
      <c r="L15" s="372">
        <f>IF(MONTH(Input!E11)=12,YEAR(Input!E11)+1,YEAR(Input!E11))</f>
        <v>1900</v>
      </c>
      <c r="M15" s="372"/>
      <c r="N15" s="372"/>
      <c r="O15" s="372"/>
      <c r="P15" s="372"/>
      <c r="Q15" s="372"/>
      <c r="R15" s="368"/>
    </row>
    <row r="16" spans="1:18" s="314" customFormat="1" ht="13.2" x14ac:dyDescent="0.25">
      <c r="A16" s="317" t="s">
        <v>151</v>
      </c>
      <c r="B16" s="320" t="s">
        <v>286</v>
      </c>
      <c r="C16" s="320"/>
      <c r="G16" s="315"/>
      <c r="J16" s="321" t="str">
        <f>TEXT(Input!E14,"T.M.JJJJ")</f>
        <v>1.1.2026</v>
      </c>
      <c r="K16" s="319"/>
      <c r="L16" s="372"/>
      <c r="M16" s="372"/>
      <c r="N16" s="372"/>
      <c r="O16" s="372"/>
      <c r="P16" s="372"/>
      <c r="Q16" s="372"/>
      <c r="R16" s="368"/>
    </row>
    <row r="17" spans="1:18" s="314" customFormat="1" ht="13.2" x14ac:dyDescent="0.25">
      <c r="A17" s="317" t="s">
        <v>152</v>
      </c>
      <c r="B17" s="314" t="s">
        <v>146</v>
      </c>
      <c r="G17" s="315"/>
      <c r="I17" s="314" t="s">
        <v>141</v>
      </c>
      <c r="J17" s="315">
        <f>Input!E18</f>
        <v>0</v>
      </c>
      <c r="K17" s="316"/>
      <c r="L17" s="372"/>
      <c r="M17" s="372"/>
      <c r="N17" s="372"/>
      <c r="O17" s="372"/>
      <c r="P17" s="372"/>
      <c r="Q17" s="372"/>
      <c r="R17" s="368"/>
    </row>
    <row r="18" spans="1:18" s="314" customFormat="1" ht="13.2" x14ac:dyDescent="0.25">
      <c r="A18" s="317" t="s">
        <v>412</v>
      </c>
      <c r="B18" s="320" t="str">
        <f>IF(Input!K9=2,"Beschäftigungsgrad / versichertes Einkommen","Versichertes Einkommen")</f>
        <v>Versichertes Einkommen</v>
      </c>
      <c r="G18" s="405"/>
      <c r="H18" s="406" t="str">
        <f>IF(Input!K9=2,CONCATENATE(Input!E22*100," % / "),"")</f>
        <v/>
      </c>
      <c r="I18" s="314" t="s">
        <v>141</v>
      </c>
      <c r="J18" s="315" t="e">
        <f>Input!E23</f>
        <v>#VALUE!</v>
      </c>
      <c r="K18" s="316"/>
      <c r="L18" s="372"/>
      <c r="M18" s="372"/>
      <c r="N18" s="372"/>
      <c r="O18" s="372"/>
      <c r="P18" s="372"/>
      <c r="Q18" s="372"/>
      <c r="R18" s="368"/>
    </row>
    <row r="19" spans="1:18" s="314" customFormat="1" ht="12.75" customHeight="1" x14ac:dyDescent="0.25">
      <c r="A19" s="313"/>
      <c r="G19" s="315"/>
      <c r="J19" s="315"/>
      <c r="K19" s="316"/>
      <c r="L19" s="372"/>
      <c r="M19" s="698" t="s">
        <v>665</v>
      </c>
      <c r="N19" s="372"/>
      <c r="O19" s="372"/>
      <c r="P19" s="372"/>
      <c r="Q19" s="372"/>
      <c r="R19" s="368"/>
    </row>
    <row r="20" spans="1:18" s="314" customFormat="1" ht="12.75" customHeight="1" thickBot="1" x14ac:dyDescent="0.3">
      <c r="A20" s="317"/>
      <c r="G20" s="315"/>
      <c r="J20" s="315"/>
      <c r="K20" s="316"/>
      <c r="L20" s="372"/>
      <c r="M20" s="697" t="s">
        <v>666</v>
      </c>
      <c r="N20" s="372"/>
      <c r="O20" s="372"/>
      <c r="P20" s="372"/>
      <c r="Q20" s="372"/>
      <c r="R20" s="368"/>
    </row>
    <row r="21" spans="1:18" s="326" customFormat="1" ht="15.6" x14ac:dyDescent="0.3">
      <c r="A21" s="325" t="s">
        <v>144</v>
      </c>
      <c r="B21" s="334" t="s">
        <v>154</v>
      </c>
      <c r="C21" s="334"/>
      <c r="D21" s="404" t="str">
        <f>IF(Input!K5&lt;&gt;1,"","Total")</f>
        <v>Total</v>
      </c>
      <c r="E21" s="335"/>
      <c r="F21" s="335"/>
      <c r="G21" s="404" t="str">
        <f>IF(Input!K5&lt;&gt;1,"","Anteil Arbeitgeber")</f>
        <v>Anteil Arbeitgeber</v>
      </c>
      <c r="H21" s="338"/>
      <c r="I21" s="338" t="str">
        <f>IF(Input!K5&lt;&gt;1,"","Anteil Arbeitnehmer")</f>
        <v>Anteil Arbeitnehmer</v>
      </c>
      <c r="J21" s="339"/>
      <c r="K21" s="328"/>
      <c r="L21" s="601" t="s">
        <v>60</v>
      </c>
      <c r="M21" s="602" t="s">
        <v>500</v>
      </c>
      <c r="N21" s="601" t="s">
        <v>313</v>
      </c>
      <c r="O21" s="602" t="s">
        <v>489</v>
      </c>
      <c r="P21" s="601" t="s">
        <v>269</v>
      </c>
      <c r="Q21" s="602" t="s">
        <v>489</v>
      </c>
      <c r="R21" s="367"/>
    </row>
    <row r="22" spans="1:18" s="314" customFormat="1" ht="6" customHeight="1" x14ac:dyDescent="0.25">
      <c r="A22" s="313"/>
      <c r="G22" s="315"/>
      <c r="J22" s="315"/>
      <c r="K22" s="316"/>
      <c r="L22" s="603"/>
      <c r="M22" s="604"/>
      <c r="N22" s="603"/>
      <c r="O22" s="604"/>
      <c r="P22" s="603"/>
      <c r="Q22" s="604"/>
      <c r="R22" s="368"/>
    </row>
    <row r="23" spans="1:18" s="314" customFormat="1" ht="13.2" x14ac:dyDescent="0.25">
      <c r="A23" s="317" t="s">
        <v>147</v>
      </c>
      <c r="B23" s="314" t="s">
        <v>345</v>
      </c>
      <c r="C23" s="314" t="str">
        <f>IF(Input!$K$5&lt;&gt;1,"","CHF")</f>
        <v>CHF</v>
      </c>
      <c r="D23" s="315" t="e">
        <f>IF(Input!$K$5&lt;&gt;1,"",G23+J23)</f>
        <v>#VALUE!</v>
      </c>
      <c r="F23" s="314" t="str">
        <f>IF(Input!$K$5&lt;&gt;1,"","CHF")</f>
        <v>CHF</v>
      </c>
      <c r="G23" s="315" t="e">
        <f>IF(Input!$K$5&lt;&gt;1,"",O23)</f>
        <v>#VALUE!</v>
      </c>
      <c r="I23" s="314" t="s">
        <v>141</v>
      </c>
      <c r="J23" s="116" t="e">
        <f>IF(Input!$K$5&lt;&gt;1,M23,Q23)</f>
        <v>#VALUE!</v>
      </c>
      <c r="K23" s="316"/>
      <c r="L23" s="605" t="e">
        <f>$J$18*VLOOKUP(Input!$L$2,Planbeschrieb!$P$49:$X$57,2)%</f>
        <v>#VALUE!</v>
      </c>
      <c r="M23" s="606" t="e">
        <f>(ROUND((L23/24)/5,2)*5)*24</f>
        <v>#VALUE!</v>
      </c>
      <c r="N23" s="605" t="e">
        <f>M23*Input!$J$51</f>
        <v>#VALUE!</v>
      </c>
      <c r="O23" s="606" t="e">
        <f>(ROUND((N23/12)/5,2)*5)*12</f>
        <v>#VALUE!</v>
      </c>
      <c r="P23" s="605" t="e">
        <f>M23*(100%-Input!$J$51)</f>
        <v>#VALUE!</v>
      </c>
      <c r="Q23" s="606" t="e">
        <f>(ROUND((P23/12)/5,2)*5)*12</f>
        <v>#VALUE!</v>
      </c>
      <c r="R23" s="587" t="s">
        <v>502</v>
      </c>
    </row>
    <row r="24" spans="1:18" s="314" customFormat="1" ht="13.2" x14ac:dyDescent="0.25">
      <c r="A24" s="317" t="s">
        <v>344</v>
      </c>
      <c r="B24" s="314" t="s">
        <v>346</v>
      </c>
      <c r="C24" s="314" t="str">
        <f>IF(Input!$K$5&lt;&gt;1,"","CHF")</f>
        <v>CHF</v>
      </c>
      <c r="D24" s="315" t="e">
        <f>IF(Input!$K$5&lt;&gt;1,"",G24+J24)</f>
        <v>#VALUE!</v>
      </c>
      <c r="F24" s="314" t="str">
        <f>IF(Input!$K$5&lt;&gt;1,"","CHF")</f>
        <v>CHF</v>
      </c>
      <c r="G24" s="315" t="e">
        <f>IF(Input!$K$5&lt;&gt;1,"",O27)</f>
        <v>#VALUE!</v>
      </c>
      <c r="I24" s="314" t="s">
        <v>141</v>
      </c>
      <c r="J24" s="116" t="e">
        <f>IF(Input!$K$5&lt;&gt;1,M27,Q27)</f>
        <v>#VALUE!</v>
      </c>
      <c r="K24" s="316"/>
      <c r="L24" s="607" t="e">
        <f>$J$18*VLOOKUP(Input!$L$2,Planbeschrieb!$P$49:$X$57,3)%</f>
        <v>#VALUE!</v>
      </c>
      <c r="M24" s="608" t="e">
        <f>(ROUND((L24/24)/5,2)*5)*24</f>
        <v>#VALUE!</v>
      </c>
      <c r="N24" s="607" t="e">
        <f>M24*Input!$J$51</f>
        <v>#VALUE!</v>
      </c>
      <c r="O24" s="608" t="e">
        <f>(ROUND((N24/12)/5,2)*5)*12</f>
        <v>#VALUE!</v>
      </c>
      <c r="P24" s="607" t="e">
        <f>M24*(100%-Input!$J$51)</f>
        <v>#VALUE!</v>
      </c>
      <c r="Q24" s="608" t="e">
        <f>(ROUND((P24/12)/5,2)*5)*12</f>
        <v>#VALUE!</v>
      </c>
      <c r="R24" s="588" t="s">
        <v>15</v>
      </c>
    </row>
    <row r="25" spans="1:18" s="314" customFormat="1" ht="13.2" x14ac:dyDescent="0.25">
      <c r="A25" s="323">
        <v>3.3</v>
      </c>
      <c r="B25" s="314" t="s">
        <v>66</v>
      </c>
      <c r="C25" s="314" t="str">
        <f>IF(Input!$K$5&lt;&gt;1,"","CHF")</f>
        <v>CHF</v>
      </c>
      <c r="D25" s="315">
        <f>IF(Input!$K$5&lt;&gt;1,"",G25+J25)</f>
        <v>192</v>
      </c>
      <c r="F25" s="314" t="str">
        <f>IF(Input!$K$5&lt;&gt;1,"","CHF")</f>
        <v>CHF</v>
      </c>
      <c r="G25" s="315">
        <f>IF(Input!$K$5&lt;&gt;1,"",O28)</f>
        <v>96</v>
      </c>
      <c r="I25" s="314" t="s">
        <v>141</v>
      </c>
      <c r="J25" s="116">
        <f>IF(Input!$K$5&lt;&gt;1,M28,Q28)</f>
        <v>96</v>
      </c>
      <c r="K25" s="316"/>
      <c r="L25" s="607" t="e">
        <f>$J$18*VLOOKUP(Input!$L$2,Planbeschrieb!$P$49:$X$57,4)%</f>
        <v>#VALUE!</v>
      </c>
      <c r="M25" s="608" t="e">
        <f>(ROUND((L25/24)/5,2)*5)*24</f>
        <v>#VALUE!</v>
      </c>
      <c r="N25" s="607" t="e">
        <f>M25*Input!$J$51</f>
        <v>#VALUE!</v>
      </c>
      <c r="O25" s="608" t="e">
        <f>(ROUND((N25/12)/5,2)*5)*12</f>
        <v>#VALUE!</v>
      </c>
      <c r="P25" s="607" t="e">
        <f>M25*(100%-Input!$J$51)</f>
        <v>#VALUE!</v>
      </c>
      <c r="Q25" s="608" t="e">
        <f>(ROUND((P25/12)/5,2)*5)*12</f>
        <v>#VALUE!</v>
      </c>
      <c r="R25" s="588" t="s">
        <v>401</v>
      </c>
    </row>
    <row r="26" spans="1:18" s="314" customFormat="1" ht="13.2" x14ac:dyDescent="0.25">
      <c r="A26" s="323">
        <v>3.4</v>
      </c>
      <c r="B26" s="314" t="s">
        <v>142</v>
      </c>
      <c r="C26" s="314" t="str">
        <f>IF(Input!$K$5&lt;&gt;1,"","CHF")</f>
        <v>CHF</v>
      </c>
      <c r="D26" s="315" t="e">
        <f>IF(Input!$K$5&lt;&gt;1,"",G26+J26)</f>
        <v>#VALUE!</v>
      </c>
      <c r="F26" s="314" t="str">
        <f>IF(Input!$K$5&lt;&gt;1,"","CHF")</f>
        <v>CHF</v>
      </c>
      <c r="G26" s="315" t="e">
        <f>IF(Input!$K$5&lt;&gt;1,"",SUM(G23:G25))</f>
        <v>#VALUE!</v>
      </c>
      <c r="I26" s="314" t="s">
        <v>141</v>
      </c>
      <c r="J26" s="315" t="e">
        <f>SUM(J23:J25)</f>
        <v>#VALUE!</v>
      </c>
      <c r="K26" s="316"/>
      <c r="L26" s="607" t="e">
        <f>IF(Wertebereich!B47=6,$J$18*VLOOKUP(Input!$L$2,Planbeschrieb!$P$49:$X$57,5)%,$J$18*VLOOKUP(Input!$L$2,Planbeschrieb!$P$49:$X$57,5)%)</f>
        <v>#VALUE!</v>
      </c>
      <c r="M26" s="608" t="e">
        <f>IF(Wertebereich!B47=6,(ROUND((L26/24)/5,2)*5)*24,(ROUND((L26/24)/5,2)*5)*24)</f>
        <v>#VALUE!</v>
      </c>
      <c r="N26" s="607" t="e">
        <f>M26*Input!$J$51</f>
        <v>#VALUE!</v>
      </c>
      <c r="O26" s="608" t="e">
        <f>(ROUND((N26/12)/5,2)*5)*12</f>
        <v>#VALUE!</v>
      </c>
      <c r="P26" s="607" t="e">
        <f>M26*(100%-Input!$J$51)</f>
        <v>#VALUE!</v>
      </c>
      <c r="Q26" s="608" t="e">
        <f>(ROUND((P26/12)/5,2)*5)*12</f>
        <v>#VALUE!</v>
      </c>
      <c r="R26" s="588" t="s">
        <v>17</v>
      </c>
    </row>
    <row r="27" spans="1:18" s="314" customFormat="1" ht="12.75" customHeight="1" x14ac:dyDescent="0.25">
      <c r="A27" s="313"/>
      <c r="G27" s="315"/>
      <c r="J27" s="315"/>
      <c r="K27" s="316"/>
      <c r="L27" s="605" t="e">
        <f t="shared" ref="L27:Q27" si="0">SUM(L24:L26)</f>
        <v>#VALUE!</v>
      </c>
      <c r="M27" s="606" t="e">
        <f t="shared" si="0"/>
        <v>#VALUE!</v>
      </c>
      <c r="N27" s="605" t="e">
        <f t="shared" si="0"/>
        <v>#VALUE!</v>
      </c>
      <c r="O27" s="606" t="e">
        <f t="shared" si="0"/>
        <v>#VALUE!</v>
      </c>
      <c r="P27" s="605" t="e">
        <f t="shared" si="0"/>
        <v>#VALUE!</v>
      </c>
      <c r="Q27" s="606" t="e">
        <f t="shared" si="0"/>
        <v>#VALUE!</v>
      </c>
      <c r="R27" s="587" t="s">
        <v>15</v>
      </c>
    </row>
    <row r="28" spans="1:18" s="326" customFormat="1" ht="15.6" x14ac:dyDescent="0.3">
      <c r="A28" s="325"/>
      <c r="B28" s="334"/>
      <c r="C28" s="334"/>
      <c r="D28" s="334"/>
      <c r="E28" s="335"/>
      <c r="F28" s="335"/>
      <c r="G28" s="336"/>
      <c r="H28" s="335"/>
      <c r="I28" s="335"/>
      <c r="J28" s="336"/>
      <c r="K28" s="327"/>
      <c r="L28" s="605">
        <v>192</v>
      </c>
      <c r="M28" s="606">
        <f>(ROUND((L28/24)/5,2)*5)*24</f>
        <v>192</v>
      </c>
      <c r="N28" s="605">
        <f>M28*Input!$J$51</f>
        <v>96</v>
      </c>
      <c r="O28" s="606">
        <f>(ROUND((N28/12)/5,2)*5)*12</f>
        <v>96</v>
      </c>
      <c r="P28" s="605">
        <f>M28*(100%-Input!$J$51)</f>
        <v>96</v>
      </c>
      <c r="Q28" s="606">
        <f>(ROUND((P28/12)/5,2)*5)*12</f>
        <v>96</v>
      </c>
      <c r="R28" s="589" t="s">
        <v>503</v>
      </c>
    </row>
    <row r="29" spans="1:18" s="314" customFormat="1" ht="6" customHeight="1" x14ac:dyDescent="0.25">
      <c r="A29" s="313"/>
      <c r="G29" s="315"/>
      <c r="J29" s="315"/>
      <c r="K29" s="316"/>
      <c r="L29" s="605"/>
      <c r="M29" s="606"/>
      <c r="N29" s="605"/>
      <c r="O29" s="606"/>
      <c r="P29" s="605"/>
      <c r="Q29" s="606"/>
      <c r="R29" s="587"/>
    </row>
    <row r="30" spans="1:18" s="314" customFormat="1" ht="13.8" thickBot="1" x14ac:dyDescent="0.3">
      <c r="A30" s="317"/>
      <c r="G30" s="315"/>
      <c r="J30" s="315"/>
      <c r="K30" s="316"/>
      <c r="L30" s="609" t="e">
        <f t="shared" ref="L30:Q30" si="1">L23+L27+L28</f>
        <v>#VALUE!</v>
      </c>
      <c r="M30" s="610" t="e">
        <f t="shared" si="1"/>
        <v>#VALUE!</v>
      </c>
      <c r="N30" s="609" t="e">
        <f t="shared" si="1"/>
        <v>#VALUE!</v>
      </c>
      <c r="O30" s="610" t="e">
        <f t="shared" si="1"/>
        <v>#VALUE!</v>
      </c>
      <c r="P30" s="609" t="e">
        <f t="shared" si="1"/>
        <v>#VALUE!</v>
      </c>
      <c r="Q30" s="610" t="e">
        <f t="shared" si="1"/>
        <v>#VALUE!</v>
      </c>
      <c r="R30" s="587" t="s">
        <v>504</v>
      </c>
    </row>
    <row r="31" spans="1:18" s="314" customFormat="1" ht="13.2" x14ac:dyDescent="0.25">
      <c r="A31" s="317"/>
      <c r="G31" s="315"/>
      <c r="J31" s="315"/>
      <c r="K31" s="316"/>
      <c r="L31" s="372"/>
      <c r="M31" s="372"/>
      <c r="N31" s="372"/>
      <c r="O31" s="372"/>
      <c r="P31" s="372"/>
      <c r="Q31" s="372"/>
      <c r="R31" s="368"/>
    </row>
    <row r="32" spans="1:18" s="314" customFormat="1" ht="13.2" x14ac:dyDescent="0.25">
      <c r="A32" s="317"/>
      <c r="G32" s="315"/>
      <c r="J32" s="322"/>
      <c r="K32" s="316"/>
      <c r="L32" s="699"/>
      <c r="M32" s="372"/>
      <c r="N32" s="372"/>
      <c r="O32" s="372"/>
      <c r="P32" s="372"/>
      <c r="Q32" s="372"/>
      <c r="R32" s="368"/>
    </row>
    <row r="33" spans="1:18" s="314" customFormat="1" ht="13.2" x14ac:dyDescent="0.25">
      <c r="A33" s="317"/>
      <c r="G33" s="315"/>
      <c r="J33" s="318"/>
      <c r="K33" s="319"/>
      <c r="L33" s="372"/>
      <c r="M33" s="372"/>
      <c r="N33" s="372"/>
      <c r="O33" s="372"/>
      <c r="P33" s="372"/>
      <c r="Q33" s="372"/>
      <c r="R33" s="368"/>
    </row>
    <row r="34" spans="1:18" s="314" customFormat="1" ht="18" customHeight="1" x14ac:dyDescent="0.25">
      <c r="A34" s="313"/>
      <c r="G34" s="315"/>
      <c r="J34" s="315"/>
      <c r="K34" s="316"/>
      <c r="L34" s="372"/>
      <c r="M34" s="372"/>
      <c r="N34" s="372"/>
      <c r="O34" s="372"/>
      <c r="P34" s="372"/>
      <c r="Q34" s="372"/>
      <c r="R34" s="368"/>
    </row>
    <row r="35" spans="1:18" s="314" customFormat="1" ht="12.75" customHeight="1" x14ac:dyDescent="0.25">
      <c r="A35" s="716"/>
      <c r="B35" s="716"/>
      <c r="C35" s="716"/>
      <c r="D35" s="716"/>
      <c r="E35" s="716"/>
      <c r="F35" s="716"/>
      <c r="G35" s="716"/>
      <c r="H35" s="716"/>
      <c r="I35" s="716"/>
      <c r="J35" s="716"/>
      <c r="K35" s="324"/>
      <c r="L35" s="372"/>
      <c r="M35" s="372"/>
      <c r="N35" s="372"/>
      <c r="O35" s="372"/>
      <c r="P35" s="372"/>
      <c r="Q35" s="372"/>
      <c r="R35" s="368"/>
    </row>
    <row r="36" spans="1:18" s="314" customFormat="1" ht="12.75" customHeight="1" x14ac:dyDescent="0.25">
      <c r="A36" s="716"/>
      <c r="B36" s="716"/>
      <c r="C36" s="716"/>
      <c r="D36" s="716"/>
      <c r="E36" s="716"/>
      <c r="F36" s="716"/>
      <c r="G36" s="716"/>
      <c r="H36" s="716"/>
      <c r="I36" s="716"/>
      <c r="J36" s="716"/>
      <c r="K36" s="324"/>
      <c r="L36" s="372"/>
      <c r="M36" s="372"/>
      <c r="N36" s="372"/>
      <c r="O36" s="372"/>
      <c r="P36" s="372"/>
      <c r="Q36" s="372"/>
      <c r="R36" s="368"/>
    </row>
    <row r="37" spans="1:18" s="314" customFormat="1" ht="14.25" customHeight="1" x14ac:dyDescent="0.25">
      <c r="A37" s="313"/>
      <c r="G37" s="315"/>
      <c r="J37" s="315"/>
      <c r="K37" s="316"/>
      <c r="L37" s="372"/>
      <c r="M37" s="372"/>
      <c r="N37" s="372"/>
      <c r="O37" s="372"/>
      <c r="P37" s="372"/>
      <c r="Q37" s="372"/>
      <c r="R37" s="368"/>
    </row>
    <row r="38" spans="1:18" s="314" customFormat="1" ht="12.75" customHeight="1" x14ac:dyDescent="0.25">
      <c r="A38" s="715"/>
      <c r="B38" s="715"/>
      <c r="C38" s="715"/>
      <c r="D38" s="715"/>
      <c r="E38" s="715"/>
      <c r="F38" s="715"/>
      <c r="G38" s="715"/>
      <c r="H38" s="715"/>
      <c r="I38" s="715"/>
      <c r="J38" s="715"/>
      <c r="K38" s="324"/>
      <c r="L38" s="372"/>
      <c r="M38" s="372"/>
      <c r="N38" s="372"/>
      <c r="O38" s="372"/>
      <c r="P38" s="372"/>
      <c r="Q38" s="372"/>
      <c r="R38" s="368"/>
    </row>
    <row r="39" spans="1:18" s="314" customFormat="1" ht="18" customHeight="1" x14ac:dyDescent="0.25">
      <c r="A39" s="313"/>
      <c r="G39" s="315"/>
      <c r="J39" s="315"/>
      <c r="K39" s="316"/>
      <c r="L39" s="372"/>
      <c r="M39" s="372"/>
      <c r="N39" s="372"/>
      <c r="O39" s="372"/>
      <c r="P39" s="372"/>
      <c r="Q39" s="372"/>
      <c r="R39" s="368"/>
    </row>
    <row r="40" spans="1:18" s="314" customFormat="1" ht="13.2" x14ac:dyDescent="0.25">
      <c r="G40" s="315"/>
      <c r="K40" s="316"/>
      <c r="L40" s="372"/>
      <c r="M40" s="372"/>
      <c r="N40" s="372"/>
      <c r="O40" s="372"/>
      <c r="P40" s="372"/>
      <c r="Q40" s="372"/>
      <c r="R40" s="368"/>
    </row>
    <row r="41" spans="1:18" s="314" customFormat="1" ht="13.2" x14ac:dyDescent="0.25">
      <c r="G41" s="315"/>
      <c r="K41" s="316"/>
      <c r="L41" s="372"/>
      <c r="M41" s="372"/>
      <c r="N41" s="372"/>
      <c r="O41" s="372"/>
      <c r="P41" s="372"/>
      <c r="Q41" s="372"/>
      <c r="R41" s="368"/>
    </row>
    <row r="42" spans="1:18" s="314" customFormat="1" ht="13.5" customHeight="1" x14ac:dyDescent="0.25">
      <c r="A42" s="313"/>
      <c r="G42" s="315"/>
      <c r="J42" s="471" t="str">
        <f ca="1">CONCATENATE(TEXT(TODAY(),"T.M.JJ")," / ","V 24.02.2026")</f>
        <v>24.2.26 / V 24.02.2026</v>
      </c>
      <c r="K42" s="316"/>
      <c r="L42" s="372"/>
      <c r="M42" s="372"/>
      <c r="N42" s="372"/>
      <c r="O42" s="372"/>
      <c r="P42" s="372"/>
      <c r="Q42" s="372"/>
      <c r="R42" s="368"/>
    </row>
    <row r="46" spans="1:18" x14ac:dyDescent="0.25">
      <c r="F46" s="111"/>
    </row>
  </sheetData>
  <sheetProtection algorithmName="SHA-512" hashValue="XAk8LpVIEFVy7d13aVW6i/1xlnMPcyes+dJjMn5/gN/P8GcUd0kfuWpaocAVIEc6i/itDB44fJHCajFBOwZm0Q==" saltValue="fT7ZxqpRBClKWi0yiEeS+g==" spinCount="100000" sheet="1" objects="1" scenarios="1" selectLockedCells="1" selectUnlockedCells="1"/>
  <mergeCells count="5">
    <mergeCell ref="A38:J38"/>
    <mergeCell ref="A35:J35"/>
    <mergeCell ref="A36:J36"/>
    <mergeCell ref="A8:J8"/>
    <mergeCell ref="F10:G10"/>
  </mergeCells>
  <phoneticPr fontId="2" type="noConversion"/>
  <conditionalFormatting sqref="A8:J8">
    <cfRule type="cellIs" dxfId="5" priority="1" stopIfTrue="1" operator="notEqual">
      <formula>""</formula>
    </cfRule>
  </conditionalFormatting>
  <pageMargins left="0.59055118110236227" right="0.39370078740157483" top="0.39370078740157483" bottom="0.39370078740157483" header="0.51181102362204722" footer="0.51181102362204722"/>
  <pageSetup paperSize="9" orientation="portrait" r:id="rId1"/>
  <headerFooter alignWithMargins="0"/>
  <customProperties>
    <customPr name="SSCSheetTrackingNo"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0">
    <tabColor indexed="12"/>
    <pageSetUpPr fitToPage="1"/>
  </sheetPr>
  <dimension ref="A1:Y70"/>
  <sheetViews>
    <sheetView showGridLines="0" zoomScale="130" zoomScaleNormal="130" workbookViewId="0"/>
  </sheetViews>
  <sheetFormatPr baseColWidth="10" defaultColWidth="12.5546875" defaultRowHeight="13.8" x14ac:dyDescent="0.25"/>
  <cols>
    <col min="1" max="1" width="18.6640625" style="279" customWidth="1"/>
    <col min="2" max="2" width="14.109375" style="279" customWidth="1"/>
    <col min="3" max="3" width="10" style="279" hidden="1" customWidth="1"/>
    <col min="4" max="5" width="8.109375" style="279" hidden="1" customWidth="1"/>
    <col min="6" max="6" width="5.109375" style="279" hidden="1" customWidth="1"/>
    <col min="7" max="7" width="12.33203125" style="279" customWidth="1"/>
    <col min="8" max="8" width="3.88671875" style="279" customWidth="1"/>
    <col min="9" max="9" width="14.109375" style="279" customWidth="1"/>
    <col min="10" max="10" width="5.44140625" style="279" customWidth="1"/>
    <col min="11" max="11" width="11.5546875" style="279" customWidth="1"/>
    <col min="12" max="12" width="5.88671875" style="279" customWidth="1"/>
    <col min="13" max="13" width="11.44140625" style="279" customWidth="1"/>
    <col min="14" max="14" width="7" style="279" customWidth="1"/>
    <col min="15" max="15" width="4.33203125" style="356" hidden="1" customWidth="1"/>
    <col min="16" max="24" width="10.44140625" style="374" hidden="1" customWidth="1"/>
    <col min="25" max="25" width="4.33203125" style="356" hidden="1" customWidth="1"/>
    <col min="26" max="16384" width="12.5546875" style="279"/>
  </cols>
  <sheetData>
    <row r="1" spans="1:25" ht="76.5" customHeight="1" x14ac:dyDescent="0.25">
      <c r="C1" s="356"/>
      <c r="D1" s="356"/>
      <c r="E1" s="356"/>
      <c r="F1" s="356"/>
    </row>
    <row r="2" spans="1:25" s="312" customFormat="1" ht="18" customHeight="1" x14ac:dyDescent="0.25">
      <c r="A2" s="311" t="str">
        <f>IF(Input!K77=2,"Vorsorgeplanbeschrieb","Vorsorgeplanbeschrieb zur Offerte")</f>
        <v>Vorsorgeplanbeschrieb</v>
      </c>
      <c r="I2" s="727">
        <f>Input!E6</f>
        <v>0</v>
      </c>
      <c r="J2" s="727"/>
      <c r="K2" s="727"/>
      <c r="L2" s="727"/>
      <c r="M2" s="727"/>
      <c r="N2" s="727"/>
      <c r="O2" s="357"/>
      <c r="P2" s="375"/>
      <c r="Q2" s="375"/>
      <c r="R2" s="375"/>
      <c r="S2" s="375"/>
      <c r="T2" s="375"/>
      <c r="U2" s="375"/>
      <c r="V2" s="375"/>
      <c r="W2" s="375"/>
      <c r="X2" s="375"/>
      <c r="Y2" s="357"/>
    </row>
    <row r="3" spans="1:25" ht="17.25" customHeight="1" x14ac:dyDescent="0.25">
      <c r="A3" s="445"/>
      <c r="B3" s="445"/>
      <c r="C3" s="445"/>
      <c r="D3" s="445"/>
      <c r="E3" s="445"/>
      <c r="F3" s="445"/>
      <c r="G3" s="445"/>
      <c r="H3" s="445"/>
      <c r="I3" s="445"/>
      <c r="J3" s="445"/>
      <c r="K3" s="445"/>
      <c r="L3" s="445"/>
      <c r="M3" s="445"/>
      <c r="N3" s="446" t="str">
        <f>Versicherungsausweis!J13</f>
        <v xml:space="preserve">  </v>
      </c>
    </row>
    <row r="4" spans="1:25" s="281" customFormat="1" ht="11.25" customHeight="1" x14ac:dyDescent="0.25">
      <c r="A4" s="447" t="s">
        <v>103</v>
      </c>
      <c r="B4" s="447"/>
      <c r="C4" s="447"/>
      <c r="D4" s="447"/>
      <c r="E4" s="447"/>
      <c r="F4" s="447"/>
      <c r="G4" s="447" t="s">
        <v>419</v>
      </c>
      <c r="H4" s="447" t="s">
        <v>420</v>
      </c>
      <c r="I4" s="447" t="s">
        <v>415</v>
      </c>
      <c r="J4" s="447"/>
      <c r="K4" s="448" t="str">
        <f>CONCATENATE("IV","   ")</f>
        <v xml:space="preserve">IV   </v>
      </c>
      <c r="L4" s="447" t="s">
        <v>17</v>
      </c>
      <c r="M4" s="447"/>
      <c r="N4" s="447" t="s">
        <v>421</v>
      </c>
      <c r="O4" s="360"/>
      <c r="P4" s="373"/>
      <c r="Q4" s="373"/>
      <c r="R4" s="373"/>
      <c r="S4" s="373"/>
      <c r="T4" s="373"/>
      <c r="U4" s="373"/>
      <c r="V4" s="373"/>
      <c r="W4" s="373"/>
      <c r="X4" s="373"/>
      <c r="Y4" s="360"/>
    </row>
    <row r="5" spans="1:25" s="329" customFormat="1" ht="11.25" customHeight="1" x14ac:dyDescent="0.25">
      <c r="A5" s="444" t="e">
        <f>Versicherungsausweis!A10</f>
        <v>#VALUE!</v>
      </c>
      <c r="B5" s="426"/>
      <c r="C5" s="444"/>
      <c r="D5" s="444"/>
      <c r="E5" s="444"/>
      <c r="F5" s="444"/>
      <c r="G5" s="427" t="str">
        <f>Versicherungsausweis!D10</f>
        <v>AN</v>
      </c>
      <c r="H5" s="449" t="e">
        <f>Versicherungsausweis!E10</f>
        <v>#VALUE!</v>
      </c>
      <c r="I5" s="439" t="e">
        <f>Versicherungsausweis!F10</f>
        <v>#VALUE!</v>
      </c>
      <c r="J5" s="444"/>
      <c r="K5" s="428" t="str">
        <f>CONCATENATE(Versicherungsausweis!H10,"   ")</f>
        <v xml:space="preserve">0   </v>
      </c>
      <c r="L5" s="431" t="e">
        <f>Versicherungsausweis!I10</f>
        <v>#VALUE!</v>
      </c>
      <c r="M5" s="428"/>
      <c r="N5" s="429" t="e">
        <f>Versicherungsausweis!J10</f>
        <v>#VALUE!</v>
      </c>
      <c r="O5" s="358"/>
      <c r="Y5" s="366"/>
    </row>
    <row r="6" spans="1:25" ht="13.5" customHeight="1" x14ac:dyDescent="0.25">
      <c r="A6" s="733" t="str">
        <f>IF(AND(Input!F11&gt;65,Input!K3=1),"Sie haben das AHV-Alter überschritten, bitte wenden Sie sich an die PAT-BVG!",(IF(AND(Input!F11&gt;64,Input!K3=2),"Sie haben das AHV-Alter überschritten, bitte wenden Sie sich an die PAT-BVG!","")))</f>
        <v>Sie haben das AHV-Alter überschritten, bitte wenden Sie sich an die PAT-BVG!</v>
      </c>
      <c r="B6" s="733"/>
      <c r="C6" s="733"/>
      <c r="D6" s="733"/>
      <c r="E6" s="733"/>
      <c r="F6" s="733"/>
      <c r="G6" s="733"/>
      <c r="H6" s="733"/>
      <c r="I6" s="733"/>
      <c r="J6" s="733"/>
      <c r="K6" s="733"/>
      <c r="L6" s="733"/>
      <c r="M6" s="733"/>
      <c r="N6" s="733"/>
    </row>
    <row r="7" spans="1:25" s="306" customFormat="1" ht="19.2" customHeight="1" x14ac:dyDescent="0.25">
      <c r="A7" s="340" t="s">
        <v>409</v>
      </c>
      <c r="B7" s="341"/>
      <c r="C7" s="341"/>
      <c r="D7" s="341"/>
      <c r="E7" s="341"/>
      <c r="F7" s="341"/>
      <c r="G7" s="341"/>
      <c r="H7" s="341"/>
      <c r="I7" s="341"/>
      <c r="J7" s="341"/>
      <c r="K7" s="341"/>
      <c r="L7" s="341"/>
      <c r="M7" s="341"/>
      <c r="N7" s="342" t="str">
        <f>CONCATENATE("L",Wertebereich!$B$2)</f>
        <v>L0</v>
      </c>
      <c r="O7" s="359"/>
      <c r="P7" s="376"/>
      <c r="Q7" s="376"/>
      <c r="R7" s="376"/>
      <c r="S7" s="376"/>
      <c r="T7" s="376"/>
      <c r="U7" s="376"/>
      <c r="V7" s="376"/>
      <c r="W7" s="376"/>
      <c r="X7" s="376"/>
      <c r="Y7" s="359"/>
    </row>
    <row r="8" spans="1:25" ht="3.6" customHeight="1" x14ac:dyDescent="0.25">
      <c r="A8" s="280"/>
      <c r="B8" s="280"/>
      <c r="C8" s="280"/>
      <c r="D8" s="280"/>
      <c r="E8" s="280"/>
      <c r="F8" s="280"/>
      <c r="G8" s="280"/>
      <c r="H8" s="280"/>
      <c r="I8" s="280"/>
      <c r="J8" s="280"/>
      <c r="K8" s="280"/>
      <c r="L8" s="280"/>
      <c r="M8" s="280"/>
    </row>
    <row r="9" spans="1:25" s="281" customFormat="1" x14ac:dyDescent="0.25">
      <c r="A9" s="450" t="str">
        <f>IF(Wertebereich!B2=5,"AHV-Einkommen abzüglich 1/2 Koordinationsbetrag gemäss BVG.",IF(Wertebereich!B2=3,"AHV-Einkommen abzüglich 20% des AHV-Einkommens, maximal Koordinationsbetrag gemäss BVG.",IF(Wertebereich!B2=2,"AHV-Einkommen abzüglich Koordinationsbetrag gemäss BVG, in % des Beschäftigungsgrades.",IF(Wertebereich!B2=1,"AHV-Einkommen abzüglich Koordinationsabzug gemäss BVG.","AHV-Einkommen ohne Abzug eines Koordinationsbetrags. Versichert ist das gesamte AHV-Einkommen."))))</f>
        <v>AHV-Einkommen ohne Abzug eines Koordinationsbetrags. Versichert ist das gesamte AHV-Einkommen.</v>
      </c>
      <c r="B9" s="280"/>
      <c r="C9" s="280"/>
      <c r="D9" s="280"/>
      <c r="E9" s="280"/>
      <c r="F9" s="280"/>
      <c r="G9" s="280"/>
      <c r="H9" s="280"/>
      <c r="I9" s="280"/>
      <c r="J9" s="280"/>
      <c r="K9" s="280"/>
      <c r="L9" s="280"/>
      <c r="M9" s="280"/>
      <c r="N9" s="280"/>
      <c r="O9" s="360"/>
      <c r="P9" s="374"/>
      <c r="Q9" s="374"/>
      <c r="R9" s="374"/>
      <c r="S9" s="374"/>
      <c r="T9" s="374"/>
      <c r="U9" s="374"/>
      <c r="V9" s="374"/>
      <c r="W9" s="374"/>
      <c r="X9" s="374"/>
      <c r="Y9" s="360"/>
    </row>
    <row r="10" spans="1:25" s="281" customFormat="1" x14ac:dyDescent="0.25">
      <c r="A10" s="280" t="e">
        <f>IF(Wertebereich!B2=5,"Der versicherte Lohn ist nach oben nicht begrenzt.",IF(Wertebereich!B34=3,"Der maximal versicherte Lohn ist nach oben gemäss BVG begrenzt.",IF(Wertebereich!B34=2,"Der maximal versicherte Lohn ist nach oben gemäss UVG begrenzt.","Der versicherte Lohn ist nach oben nicht begrenzt.")))</f>
        <v>#VALUE!</v>
      </c>
      <c r="B10" s="280"/>
      <c r="C10" s="280"/>
      <c r="D10" s="280"/>
      <c r="E10" s="280"/>
      <c r="F10" s="280"/>
      <c r="G10" s="280"/>
      <c r="H10" s="280"/>
      <c r="I10" s="280"/>
      <c r="J10" s="280"/>
      <c r="K10" s="280"/>
      <c r="L10" s="280"/>
      <c r="M10" s="280"/>
      <c r="N10" s="280"/>
      <c r="O10" s="360"/>
      <c r="P10" s="374"/>
      <c r="Q10" s="374"/>
      <c r="R10" s="374"/>
      <c r="S10" s="374"/>
      <c r="T10" s="374"/>
      <c r="U10" s="374"/>
      <c r="V10" s="374"/>
      <c r="W10" s="374"/>
      <c r="X10" s="374"/>
      <c r="Y10" s="360"/>
    </row>
    <row r="11" spans="1:25" s="281" customFormat="1" x14ac:dyDescent="0.25">
      <c r="A11" s="280" t="e">
        <f>IF(Wertebereich!B2=5,"Versichert werden jene Personen, deren Jahresgehalt 1/2 des Koordinationsbetrags gemäss BVG übersteigt.",IF(AND(Wertebereich!B55=1,Wertebereich!B2=2),"Versichert werden jene Personen, deren Jahresgehalt bei 100% Beschäftigung die Eintrittsschwelle gemäss BVG übersteigt.",IF(Wertebereich!B55=1,"Versichert werden jene Personen, deren Jahresgehalt die Eintrittsschwelle gemäss BVG übersteigt.","Versichert werden auch jene Personen, deren Jahresgehalt die Eintrittsschwelle gemäss BVG nicht erreicht.")))</f>
        <v>#VALUE!</v>
      </c>
      <c r="B11" s="280"/>
      <c r="C11" s="280"/>
      <c r="D11" s="280"/>
      <c r="E11" s="280"/>
      <c r="F11" s="280"/>
      <c r="G11" s="280"/>
      <c r="H11" s="280"/>
      <c r="I11" s="280"/>
      <c r="J11" s="280"/>
      <c r="K11" s="280"/>
      <c r="L11" s="280"/>
      <c r="M11" s="280"/>
      <c r="N11" s="280"/>
      <c r="O11" s="360"/>
      <c r="P11" s="374"/>
      <c r="Q11" s="374"/>
      <c r="R11" s="374"/>
      <c r="S11" s="374"/>
      <c r="T11" s="374"/>
      <c r="U11" s="374"/>
      <c r="V11" s="374"/>
      <c r="W11" s="374"/>
      <c r="X11" s="374"/>
      <c r="Y11" s="360"/>
    </row>
    <row r="12" spans="1:25" ht="12.75" customHeight="1" x14ac:dyDescent="0.25">
      <c r="A12" s="280"/>
    </row>
    <row r="13" spans="1:25" s="306" customFormat="1" ht="19.2" customHeight="1" x14ac:dyDescent="0.25">
      <c r="A13" s="340" t="s">
        <v>410</v>
      </c>
      <c r="B13" s="341"/>
      <c r="C13" s="341"/>
      <c r="D13" s="341"/>
      <c r="E13" s="341"/>
      <c r="F13" s="341"/>
      <c r="G13" s="341"/>
      <c r="H13" s="341"/>
      <c r="I13" s="341"/>
      <c r="J13" s="341"/>
      <c r="K13" s="341"/>
      <c r="L13" s="341"/>
      <c r="M13" s="341"/>
      <c r="N13" s="342" t="e">
        <f>CONCATENATE("A",Wertebereich!$B$9)</f>
        <v>#VALUE!</v>
      </c>
      <c r="O13" s="359"/>
      <c r="P13" s="376"/>
      <c r="Q13" s="376"/>
      <c r="R13" s="376"/>
      <c r="S13" s="376"/>
      <c r="T13" s="376"/>
      <c r="U13" s="376"/>
      <c r="V13" s="376"/>
      <c r="W13" s="376"/>
      <c r="X13" s="376"/>
      <c r="Y13" s="359"/>
    </row>
    <row r="14" spans="1:25" ht="3.6" customHeight="1" x14ac:dyDescent="0.25">
      <c r="A14" s="280"/>
      <c r="B14" s="280"/>
      <c r="C14" s="280"/>
      <c r="D14" s="280"/>
      <c r="E14" s="280"/>
      <c r="F14" s="280"/>
      <c r="G14" s="280"/>
      <c r="H14" s="280"/>
      <c r="I14" s="280"/>
      <c r="J14" s="280"/>
      <c r="K14" s="280"/>
      <c r="L14" s="280"/>
      <c r="M14" s="280"/>
    </row>
    <row r="15" spans="1:25" ht="60" customHeight="1" x14ac:dyDescent="0.25">
      <c r="A15" s="731" t="s">
        <v>418</v>
      </c>
      <c r="B15" s="731"/>
      <c r="C15" s="731"/>
      <c r="D15" s="731"/>
      <c r="E15" s="731"/>
      <c r="F15" s="731"/>
      <c r="G15" s="731"/>
      <c r="H15" s="731"/>
      <c r="I15" s="731"/>
      <c r="J15" s="731"/>
      <c r="K15" s="731"/>
      <c r="L15" s="731"/>
      <c r="M15" s="731"/>
      <c r="N15" s="731"/>
    </row>
    <row r="16" spans="1:25" ht="16.95" customHeight="1" x14ac:dyDescent="0.25">
      <c r="A16" s="732" t="str">
        <f>IF(OR(Wertebereich!B60=1,Wertebereich!B60=2),"Die Umwandlungssätze (UWS) sind im Anhang 1a zum Vorsorgereglement definiert (www.pat-bvg.ch/Downloads).","Die Umwandlungssätze (UWS) sind im Anhang Ib des Vorsorgereglements definiert (www.pat-bvg.ch/Downloads.")</f>
        <v>Die Umwandlungssätze (UWS) sind im Anhang 1a zum Vorsorgereglement definiert (www.pat-bvg.ch/Downloads).</v>
      </c>
      <c r="B16" s="732"/>
      <c r="C16" s="732"/>
      <c r="D16" s="732"/>
      <c r="E16" s="732"/>
      <c r="F16" s="732"/>
      <c r="G16" s="732"/>
      <c r="H16" s="732"/>
      <c r="I16" s="732"/>
      <c r="J16" s="732"/>
      <c r="K16" s="732"/>
      <c r="L16" s="732"/>
      <c r="M16" s="732"/>
      <c r="N16" s="732"/>
      <c r="P16" s="377"/>
      <c r="Q16" s="377"/>
      <c r="R16" s="377"/>
      <c r="S16" s="377"/>
      <c r="T16" s="377"/>
    </row>
    <row r="17" spans="1:25" ht="3.6" customHeight="1" x14ac:dyDescent="0.25">
      <c r="A17" s="280"/>
      <c r="B17" s="280"/>
      <c r="C17" s="280"/>
      <c r="D17" s="280"/>
      <c r="E17" s="280"/>
      <c r="F17" s="280"/>
      <c r="G17" s="280"/>
      <c r="H17" s="280"/>
      <c r="I17" s="280"/>
      <c r="J17" s="280"/>
      <c r="K17" s="280"/>
      <c r="L17" s="280"/>
      <c r="M17" s="280"/>
    </row>
    <row r="18" spans="1:25" ht="28.95" customHeight="1" x14ac:dyDescent="0.25">
      <c r="A18" s="719" t="str">
        <f>IF(OR(Wertebereich!B60=1,Wertebereich!B60=2),"Bei Pensionierung ab dem ordentlichen AHV-Alter beträgt die Alterskinderrente 20% der Altersrente im ordentlichen AHV-Alter. Bei vorzeitiger Pensionierung berechnet sich die Alterskinderrente gemäss BVG.","Die Alterskinderrente wird in jedem Pensionierungsalter gemäss BVG-Minimum berechnet.")</f>
        <v>Bei Pensionierung ab dem ordentlichen AHV-Alter beträgt die Alterskinderrente 20% der Altersrente im ordentlichen AHV-Alter. Bei vorzeitiger Pensionierung berechnet sich die Alterskinderrente gemäss BVG.</v>
      </c>
      <c r="B18" s="719"/>
      <c r="C18" s="719"/>
      <c r="D18" s="719"/>
      <c r="E18" s="719"/>
      <c r="F18" s="719"/>
      <c r="G18" s="719"/>
      <c r="H18" s="719"/>
      <c r="I18" s="719"/>
      <c r="J18" s="719"/>
      <c r="K18" s="719"/>
      <c r="L18" s="719"/>
      <c r="M18" s="719"/>
      <c r="N18" s="719"/>
    </row>
    <row r="19" spans="1:25" ht="12" customHeight="1" x14ac:dyDescent="0.25">
      <c r="A19" s="280"/>
    </row>
    <row r="20" spans="1:25" s="425" customFormat="1" ht="19.2" customHeight="1" x14ac:dyDescent="0.25">
      <c r="A20" s="422" t="s">
        <v>389</v>
      </c>
      <c r="B20" s="422"/>
      <c r="C20" s="422"/>
      <c r="D20" s="422"/>
      <c r="E20" s="422"/>
      <c r="F20" s="422"/>
      <c r="G20" s="422"/>
      <c r="H20" s="422"/>
      <c r="I20" s="422"/>
      <c r="J20" s="422"/>
      <c r="K20" s="422"/>
      <c r="L20" s="422"/>
      <c r="M20" s="422"/>
      <c r="N20" s="309" t="e">
        <f>IF(Wertebereich!B23=3,"-",CONCATENATE("ZS",Wertebereich!B23))</f>
        <v>#VALUE!</v>
      </c>
      <c r="O20" s="423"/>
      <c r="P20" s="424"/>
      <c r="Q20" s="424"/>
      <c r="R20" s="424"/>
      <c r="S20" s="424"/>
      <c r="T20" s="424"/>
      <c r="U20" s="424"/>
      <c r="V20" s="424"/>
      <c r="W20" s="424"/>
      <c r="X20" s="424"/>
      <c r="Y20" s="423"/>
    </row>
    <row r="21" spans="1:25" ht="3.6" customHeight="1" x14ac:dyDescent="0.25">
      <c r="A21" s="280"/>
      <c r="B21" s="280"/>
      <c r="C21" s="280"/>
      <c r="D21" s="280"/>
      <c r="E21" s="280"/>
      <c r="F21" s="280"/>
      <c r="G21" s="280"/>
      <c r="H21" s="280"/>
      <c r="I21" s="280"/>
      <c r="J21" s="280"/>
      <c r="K21" s="280"/>
      <c r="L21" s="280"/>
      <c r="M21" s="280"/>
    </row>
    <row r="22" spans="1:25" ht="14.25" customHeight="1" x14ac:dyDescent="0.25">
      <c r="A22" s="731" t="e">
        <f>IF(Wertebereich!B23=3,"Es ist kein zusätzlicher Sparbeitrag vereinbart (Module ZS).","Die gewählten zusätzlichen Sparbeiträge aus dem Modul ZS sind in untenstehender Beitragstabelle im Sparbeitrag enthalten.")</f>
        <v>#VALUE!</v>
      </c>
      <c r="B22" s="731"/>
      <c r="C22" s="731"/>
      <c r="D22" s="731"/>
      <c r="E22" s="731"/>
      <c r="F22" s="731"/>
      <c r="G22" s="731"/>
      <c r="H22" s="731"/>
      <c r="I22" s="731"/>
      <c r="J22" s="731"/>
      <c r="K22" s="731"/>
      <c r="L22" s="731"/>
      <c r="M22" s="731"/>
      <c r="N22" s="731"/>
    </row>
    <row r="23" spans="1:25" ht="12.75" customHeight="1" x14ac:dyDescent="0.25">
      <c r="A23" s="280"/>
    </row>
    <row r="24" spans="1:25" s="306" customFormat="1" ht="19.2" customHeight="1" x14ac:dyDescent="0.25">
      <c r="A24" s="340" t="s">
        <v>408</v>
      </c>
      <c r="B24" s="340"/>
      <c r="C24" s="340"/>
      <c r="D24" s="340"/>
      <c r="E24" s="340"/>
      <c r="F24" s="340"/>
      <c r="G24" s="340"/>
      <c r="H24" s="340"/>
      <c r="I24" s="340"/>
      <c r="J24" s="340"/>
      <c r="K24" s="340"/>
      <c r="L24" s="340"/>
      <c r="M24" s="340"/>
      <c r="N24" s="342" t="str">
        <f>IF(Wertebereich!B28=3,"-",CONCATENATE("R",Wertebereich!B28))</f>
        <v>-</v>
      </c>
      <c r="O24" s="359"/>
      <c r="P24" s="376"/>
      <c r="Q24" s="376"/>
      <c r="R24" s="376"/>
      <c r="S24" s="376"/>
      <c r="T24" s="376"/>
      <c r="U24" s="376"/>
      <c r="V24" s="376"/>
      <c r="W24" s="376"/>
      <c r="X24" s="376"/>
      <c r="Y24" s="359"/>
    </row>
    <row r="25" spans="1:25" ht="3.6" customHeight="1" x14ac:dyDescent="0.25">
      <c r="A25" s="280"/>
      <c r="B25" s="280"/>
      <c r="C25" s="280"/>
      <c r="D25" s="280"/>
      <c r="E25" s="280"/>
      <c r="F25" s="280"/>
      <c r="G25" s="280"/>
      <c r="H25" s="280"/>
      <c r="I25" s="280"/>
      <c r="J25" s="280"/>
      <c r="K25" s="280"/>
      <c r="L25" s="280"/>
      <c r="M25" s="280"/>
    </row>
    <row r="26" spans="1:25" s="281" customFormat="1" x14ac:dyDescent="0.25">
      <c r="A26" s="280" t="s">
        <v>390</v>
      </c>
      <c r="B26" s="280"/>
      <c r="C26" s="280"/>
      <c r="D26" s="280"/>
      <c r="E26" s="280"/>
      <c r="F26" s="280"/>
      <c r="G26" s="280"/>
      <c r="H26" s="280"/>
      <c r="I26" s="280"/>
      <c r="J26" s="280"/>
      <c r="K26" s="280"/>
      <c r="L26" s="280"/>
      <c r="M26" s="280"/>
      <c r="O26" s="360"/>
      <c r="P26" s="374"/>
      <c r="Q26" s="374"/>
      <c r="R26" s="374"/>
      <c r="S26" s="374"/>
      <c r="T26" s="374"/>
      <c r="U26" s="374"/>
      <c r="V26" s="374"/>
      <c r="W26" s="374"/>
      <c r="X26" s="374"/>
      <c r="Y26" s="360"/>
    </row>
    <row r="27" spans="1:25" s="281" customFormat="1" ht="6.75" customHeight="1" x14ac:dyDescent="0.25">
      <c r="A27" s="280"/>
      <c r="B27" s="280"/>
      <c r="C27" s="280"/>
      <c r="D27" s="280"/>
      <c r="E27" s="280"/>
      <c r="F27" s="280"/>
      <c r="G27" s="280"/>
      <c r="H27" s="280"/>
      <c r="I27" s="280"/>
      <c r="J27" s="280"/>
      <c r="K27" s="280"/>
      <c r="L27" s="280"/>
      <c r="M27" s="280"/>
      <c r="O27" s="360"/>
      <c r="P27" s="374"/>
      <c r="Q27" s="374"/>
      <c r="R27" s="374"/>
      <c r="S27" s="374"/>
      <c r="T27" s="374"/>
      <c r="U27" s="374"/>
      <c r="V27" s="374"/>
      <c r="W27" s="374"/>
      <c r="X27" s="374"/>
      <c r="Y27" s="360"/>
    </row>
    <row r="28" spans="1:25" s="281" customFormat="1" x14ac:dyDescent="0.25">
      <c r="A28" s="280" t="s">
        <v>391</v>
      </c>
      <c r="B28" s="282"/>
      <c r="C28" s="282"/>
      <c r="D28" s="282"/>
      <c r="E28" s="282"/>
      <c r="F28" s="282"/>
      <c r="G28" s="282" t="str">
        <f>IF(Wertebereich!B28=3,"Altersrente",IF(Wertebereich!B28=2,VLOOKUP(Wertebereich!B69,Wertebereich!B70:C83,2),"UWS%"))</f>
        <v>Altersrente</v>
      </c>
      <c r="H28" s="283" t="str">
        <f>IF(G28&lt;30%,"*","")</f>
        <v/>
      </c>
      <c r="I28" s="280" t="e">
        <f>IF(AND(Input!K9=1,Input!K14=2,Input!K17=2,Input!K24=1,Input!K36=1,Input!K39=1,Input!K55=1),"des voraussichtlichen Altersguthabens, ohne Zins",IF(Wertebereich!B28=1,"des voraussichtlichen BVG-Altersguthabens, ohne Zins",IF(Wertebereich!B28=2,"des versicherten Lohnes","")))</f>
        <v>#VALUE!</v>
      </c>
      <c r="J28" s="280"/>
      <c r="K28" s="280"/>
      <c r="L28" s="280"/>
      <c r="M28" s="284"/>
      <c r="O28" s="360"/>
      <c r="P28" s="374"/>
      <c r="Q28" s="374"/>
      <c r="R28" s="374"/>
      <c r="S28" s="374"/>
      <c r="T28" s="374"/>
      <c r="U28" s="374"/>
      <c r="V28" s="374"/>
      <c r="W28" s="374"/>
      <c r="X28" s="374"/>
      <c r="Y28" s="360"/>
    </row>
    <row r="29" spans="1:25" s="281" customFormat="1" x14ac:dyDescent="0.25">
      <c r="A29" s="280" t="s">
        <v>392</v>
      </c>
      <c r="B29" s="282"/>
      <c r="C29" s="282"/>
      <c r="D29" s="282"/>
      <c r="E29" s="282"/>
      <c r="F29" s="282"/>
      <c r="G29" s="282" t="str">
        <f>IF(G28="Altersrente","--","20%")</f>
        <v>--</v>
      </c>
      <c r="H29" s="280"/>
      <c r="I29" s="280" t="str">
        <f>IF(Wertebereich!B28=3,"","der versicherten Invalidenrente")</f>
        <v/>
      </c>
      <c r="J29" s="280"/>
      <c r="K29" s="280"/>
      <c r="L29" s="280"/>
      <c r="M29" s="280"/>
      <c r="O29" s="360"/>
      <c r="P29" s="374"/>
      <c r="Q29" s="374"/>
      <c r="R29" s="374"/>
      <c r="S29" s="374"/>
      <c r="T29" s="374"/>
      <c r="U29" s="374"/>
      <c r="V29" s="374"/>
      <c r="W29" s="374"/>
      <c r="X29" s="374"/>
      <c r="Y29" s="360"/>
    </row>
    <row r="30" spans="1:25" s="281" customFormat="1" x14ac:dyDescent="0.25">
      <c r="A30" s="280" t="s">
        <v>393</v>
      </c>
      <c r="B30" s="282"/>
      <c r="C30" s="282"/>
      <c r="D30" s="282"/>
      <c r="E30" s="282"/>
      <c r="F30" s="282"/>
      <c r="G30" s="285" t="str">
        <f>IF(OR(Wertebereich!B28=1,Wertebereich!B28=2),"60%","60%")</f>
        <v>60%</v>
      </c>
      <c r="H30" s="280"/>
      <c r="I30" s="280" t="str">
        <f>IF(Wertebereich!B28=3,"der versicherten Altersrente","der versicherten Invalidenrente")</f>
        <v>der versicherten Altersrente</v>
      </c>
      <c r="J30" s="280"/>
      <c r="K30" s="280"/>
      <c r="L30" s="280"/>
      <c r="M30" s="280"/>
      <c r="O30" s="360"/>
      <c r="P30" s="374"/>
      <c r="Q30" s="374"/>
      <c r="R30" s="374"/>
      <c r="S30" s="374"/>
      <c r="T30" s="374"/>
      <c r="U30" s="374"/>
      <c r="V30" s="374"/>
      <c r="W30" s="374"/>
      <c r="X30" s="374"/>
      <c r="Y30" s="360"/>
    </row>
    <row r="31" spans="1:25" s="281" customFormat="1" x14ac:dyDescent="0.25">
      <c r="A31" s="280" t="s">
        <v>73</v>
      </c>
      <c r="B31" s="282"/>
      <c r="C31" s="282"/>
      <c r="D31" s="282"/>
      <c r="E31" s="282"/>
      <c r="F31" s="282"/>
      <c r="G31" s="282" t="str">
        <f>IF(G28="Altersrente","20%","20%")</f>
        <v>20%</v>
      </c>
      <c r="H31" s="280"/>
      <c r="I31" s="280" t="str">
        <f>IF(Wertebereich!B28=3,"der versicherten Altersrente im AHV-Alter","der versicherten Invalidenrente")</f>
        <v>der versicherten Altersrente im AHV-Alter</v>
      </c>
      <c r="J31" s="280"/>
      <c r="K31" s="280"/>
      <c r="L31" s="280"/>
      <c r="M31" s="280"/>
      <c r="O31" s="360"/>
      <c r="P31" s="374"/>
      <c r="Q31" s="374"/>
      <c r="R31" s="374"/>
      <c r="S31" s="374"/>
      <c r="T31" s="374"/>
      <c r="U31" s="374"/>
      <c r="V31" s="374"/>
      <c r="W31" s="374"/>
      <c r="X31" s="374"/>
      <c r="Y31" s="360"/>
    </row>
    <row r="32" spans="1:25" ht="3.6" customHeight="1" x14ac:dyDescent="0.25">
      <c r="A32" s="280"/>
      <c r="B32" s="280"/>
      <c r="C32" s="280"/>
      <c r="D32" s="280"/>
      <c r="E32" s="280"/>
      <c r="F32" s="280"/>
      <c r="G32" s="280"/>
      <c r="H32" s="280"/>
      <c r="I32" s="280"/>
      <c r="J32" s="280"/>
      <c r="K32" s="280"/>
      <c r="L32" s="280"/>
      <c r="M32" s="280"/>
    </row>
    <row r="33" spans="1:25" s="310" customFormat="1" ht="16.95" customHeight="1" x14ac:dyDescent="0.25">
      <c r="A33" s="307" t="e">
        <f>IF(Wertebereich!B47=1,"","Zusätzlich versichertes Todesfallkapital")</f>
        <v>#VALUE!</v>
      </c>
      <c r="B33" s="308"/>
      <c r="C33" s="308"/>
      <c r="D33" s="308"/>
      <c r="E33" s="308"/>
      <c r="F33" s="308"/>
      <c r="G33" s="308" t="e">
        <f>IF(Wertebereich!B47=6,"Total AGH",IF(Wertebereich!B47=1,"",VLOOKUP(Wertebereich!B47,Wertebereich!B49:C52,2)))</f>
        <v>#VALUE!</v>
      </c>
      <c r="H33" s="307"/>
      <c r="I33" s="307" t="e">
        <f>IF(Wertebereich!B47=1,"",IF(Wertebereich!B47=6,"Auszahlung des gesamten vorhandenen Altersguthabens","des versicherten Lohnes"))</f>
        <v>#VALUE!</v>
      </c>
      <c r="J33" s="307"/>
      <c r="K33" s="307"/>
      <c r="L33" s="307"/>
      <c r="M33" s="307"/>
      <c r="N33" s="309" t="e">
        <f>IF(Wertebereich!B47=1,"",IF(Wertebereich!B47=6,"TK2","TK1"))</f>
        <v>#VALUE!</v>
      </c>
      <c r="O33" s="361"/>
      <c r="P33" s="376"/>
      <c r="Q33" s="376"/>
      <c r="R33" s="376"/>
      <c r="S33" s="376"/>
      <c r="T33" s="376"/>
      <c r="U33" s="376"/>
      <c r="V33" s="376"/>
      <c r="W33" s="376"/>
      <c r="X33" s="376"/>
      <c r="Y33" s="361"/>
    </row>
    <row r="34" spans="1:25" ht="3.6" customHeight="1" x14ac:dyDescent="0.25">
      <c r="A34" s="280"/>
      <c r="B34" s="280"/>
      <c r="C34" s="280"/>
      <c r="D34" s="280"/>
      <c r="E34" s="280"/>
      <c r="F34" s="280"/>
      <c r="G34" s="280"/>
      <c r="H34" s="280"/>
      <c r="I34" s="280"/>
      <c r="J34" s="280"/>
      <c r="K34" s="280"/>
      <c r="L34" s="280"/>
      <c r="M34" s="280"/>
    </row>
    <row r="35" spans="1:25" s="281" customFormat="1" x14ac:dyDescent="0.25">
      <c r="A35" s="280" t="e">
        <f>IF(G33="Total AGH","","Reglementarisches Todesfallkapital")</f>
        <v>#VALUE!</v>
      </c>
      <c r="B35" s="282"/>
      <c r="C35" s="282"/>
      <c r="D35" s="282"/>
      <c r="E35" s="282"/>
      <c r="F35" s="282"/>
      <c r="G35" s="282"/>
      <c r="H35" s="280"/>
      <c r="I35" s="280" t="e">
        <f>IF(A35="","","gemäss Ziffer 16 des Vorsorgereglements")</f>
        <v>#VALUE!</v>
      </c>
      <c r="J35" s="280"/>
      <c r="K35" s="280"/>
      <c r="L35" s="280"/>
      <c r="M35" s="280"/>
      <c r="O35" s="360"/>
      <c r="P35" s="374"/>
      <c r="Q35" s="374"/>
      <c r="R35" s="374"/>
      <c r="S35" s="374"/>
      <c r="T35" s="374"/>
      <c r="U35" s="374"/>
      <c r="V35" s="374"/>
      <c r="W35" s="374"/>
      <c r="X35" s="374"/>
      <c r="Y35" s="360"/>
    </row>
    <row r="36" spans="1:25" s="281" customFormat="1" x14ac:dyDescent="0.25">
      <c r="A36" s="280" t="str">
        <f>IF(H28="*",CONCATENATE("* Der versicherte Lohn beträgt mindestens ",P36,"."),"")</f>
        <v/>
      </c>
      <c r="B36" s="282"/>
      <c r="C36" s="282"/>
      <c r="D36" s="282"/>
      <c r="E36" s="282"/>
      <c r="G36" s="286"/>
      <c r="H36" s="284"/>
      <c r="I36" s="280"/>
      <c r="J36" s="280"/>
      <c r="K36" s="280"/>
      <c r="L36" s="280"/>
      <c r="M36" s="280"/>
      <c r="O36" s="360"/>
      <c r="P36" s="378" t="str">
        <f>IF(G28=10%,"CHF 200'000",IF(G28=15%,"CHF 150'000",IF(OR(G28=20%,G28=25%),"CHF 100'000","")))</f>
        <v/>
      </c>
      <c r="Q36" s="378"/>
      <c r="R36" s="378"/>
      <c r="S36" s="378"/>
      <c r="T36" s="378"/>
      <c r="U36" s="374"/>
      <c r="V36" s="374"/>
      <c r="W36" s="374"/>
      <c r="X36" s="374"/>
      <c r="Y36" s="360"/>
    </row>
    <row r="37" spans="1:25" s="281" customFormat="1" ht="5.4" customHeight="1" x14ac:dyDescent="0.25">
      <c r="A37" s="280"/>
      <c r="B37" s="282"/>
      <c r="C37" s="282"/>
      <c r="D37" s="282"/>
      <c r="E37" s="282"/>
      <c r="F37" s="282"/>
      <c r="G37" s="287"/>
      <c r="H37" s="280"/>
      <c r="I37" s="280"/>
      <c r="J37" s="280"/>
      <c r="K37" s="280"/>
      <c r="L37" s="280"/>
      <c r="M37" s="280"/>
      <c r="O37" s="360"/>
      <c r="P37" s="374"/>
      <c r="Q37" s="374"/>
      <c r="R37" s="374"/>
      <c r="S37" s="374"/>
      <c r="T37" s="374"/>
      <c r="U37" s="374"/>
      <c r="V37" s="374"/>
      <c r="W37" s="374"/>
      <c r="X37" s="374"/>
      <c r="Y37" s="360"/>
    </row>
    <row r="38" spans="1:25" s="281" customFormat="1" x14ac:dyDescent="0.25">
      <c r="A38" s="280" t="s">
        <v>394</v>
      </c>
      <c r="B38" s="282"/>
      <c r="C38" s="282"/>
      <c r="D38" s="282"/>
      <c r="E38" s="282"/>
      <c r="F38" s="282"/>
      <c r="G38" s="287"/>
      <c r="H38" s="280"/>
      <c r="I38" s="280"/>
      <c r="J38" s="280"/>
      <c r="K38" s="280"/>
      <c r="L38" s="280"/>
      <c r="M38" s="280"/>
      <c r="O38" s="360"/>
      <c r="P38" s="374"/>
      <c r="Q38" s="374"/>
      <c r="R38" s="374"/>
      <c r="S38" s="374"/>
      <c r="T38" s="374"/>
      <c r="U38" s="374"/>
      <c r="V38" s="374"/>
      <c r="W38" s="374"/>
      <c r="X38" s="374"/>
      <c r="Y38" s="360"/>
    </row>
    <row r="39" spans="1:25" ht="7.5" customHeight="1" x14ac:dyDescent="0.25">
      <c r="A39" s="280"/>
      <c r="B39" s="280"/>
      <c r="C39" s="280"/>
      <c r="D39" s="280"/>
      <c r="E39" s="280"/>
      <c r="F39" s="280"/>
      <c r="G39" s="280"/>
      <c r="H39" s="280"/>
      <c r="I39" s="280"/>
      <c r="J39" s="280"/>
      <c r="K39" s="280"/>
      <c r="L39" s="280"/>
      <c r="M39" s="280"/>
    </row>
    <row r="40" spans="1:25" ht="27.75" customHeight="1" x14ac:dyDescent="0.25">
      <c r="A40" s="731" t="str">
        <f>IF(Wertebereich!B28=3,"",IF(Wertebereich!B43=3,"Im Todesfall oder bei Invalidität kommt das Kapital zur Auszahlung.",IF(AND(Wertebereich!B43=1,Wertebereich!B60=1),"Die Wartefrist für die Invalidenrente beträgt 720 Tage. Es besteht eine Kollektivkrankentaggeldversicherung mit BVG-koordinierter Leistungsdauer von 720 Tagen.",IF(AND(Wertebereich!B43=1,Wertebereich!B60&gt;1),"Die Wartefrist für die Invalidenrente beträgt 720 Tage. Es besteht eine Taggeldversicherung (Krankheit und Unfall) von 720 Tagen.  ","Die Wartefrist für die Invalidenrente beträgt 360 Tage, bzw. endet frühestens mit der Leistungsausrichtung der Eidg. Invalidenversicherung."))))</f>
        <v/>
      </c>
      <c r="B40" s="731"/>
      <c r="C40" s="731"/>
      <c r="D40" s="731"/>
      <c r="E40" s="731"/>
      <c r="F40" s="731"/>
      <c r="G40" s="731"/>
      <c r="H40" s="731"/>
      <c r="I40" s="731"/>
      <c r="J40" s="731"/>
      <c r="K40" s="731"/>
      <c r="L40" s="731"/>
      <c r="M40" s="731"/>
      <c r="N40" s="731"/>
    </row>
    <row r="41" spans="1:25" ht="30" customHeight="1" x14ac:dyDescent="0.25">
      <c r="A41" s="719" t="str">
        <f>IF(Wertebereich!B28=3,"",IF(Wertebereich!B65=2, "Bei Arbeitsunfähigkeit oder Invalidität werden die Altersgutschriften gemäss Plan gutgeschrieben. Die Wartefrist für die Beitragsbefreiung beträgt 6 Monate.","Bei Arbeitsunfähigkeit oder Invalidität werden die Altersgutschriften gemäss BVG gutgeschrieben. Der beitragsbefreite Lohn wird gemäss BVG bestimmt. Die Wartefrist für die Beitragsbefreiung beträgt 6 Monate."))</f>
        <v/>
      </c>
      <c r="B41" s="728"/>
      <c r="C41" s="728"/>
      <c r="D41" s="728"/>
      <c r="E41" s="728"/>
      <c r="F41" s="728"/>
      <c r="G41" s="728"/>
      <c r="H41" s="728"/>
      <c r="I41" s="728"/>
      <c r="J41" s="728"/>
      <c r="K41" s="728"/>
      <c r="L41" s="728"/>
      <c r="M41" s="728"/>
      <c r="N41" s="728"/>
    </row>
    <row r="42" spans="1:25" ht="12" customHeight="1" x14ac:dyDescent="0.25">
      <c r="A42" s="280"/>
    </row>
    <row r="43" spans="1:25" s="306" customFormat="1" ht="19.2" customHeight="1" x14ac:dyDescent="0.25">
      <c r="A43" s="340" t="s">
        <v>158</v>
      </c>
      <c r="B43" s="341"/>
      <c r="C43" s="341"/>
      <c r="D43" s="341"/>
      <c r="E43" s="341"/>
      <c r="F43" s="341"/>
      <c r="G43" s="341"/>
      <c r="H43" s="341"/>
      <c r="I43" s="341"/>
      <c r="J43" s="341"/>
      <c r="K43" s="341"/>
      <c r="L43" s="341"/>
      <c r="M43" s="341"/>
      <c r="N43" s="341"/>
      <c r="O43" s="359"/>
      <c r="P43" s="376"/>
      <c r="Q43" s="376"/>
      <c r="R43" s="376"/>
      <c r="S43" s="376"/>
      <c r="T43" s="376"/>
      <c r="U43" s="376"/>
      <c r="V43" s="376"/>
      <c r="W43" s="376"/>
      <c r="X43" s="376"/>
      <c r="Y43" s="359"/>
    </row>
    <row r="44" spans="1:25" ht="3.6" customHeight="1" thickBot="1" x14ac:dyDescent="0.3">
      <c r="A44" s="280"/>
      <c r="B44" s="280"/>
      <c r="C44" s="280"/>
      <c r="D44" s="280"/>
      <c r="E44" s="280"/>
      <c r="F44" s="280"/>
      <c r="G44" s="280"/>
      <c r="H44" s="280"/>
      <c r="I44" s="280"/>
      <c r="J44" s="280"/>
      <c r="K44" s="280"/>
      <c r="L44" s="280"/>
      <c r="M44" s="280"/>
    </row>
    <row r="45" spans="1:25" ht="14.4" thickBot="1" x14ac:dyDescent="0.3">
      <c r="A45" s="280" t="s">
        <v>414</v>
      </c>
      <c r="B45" s="280"/>
      <c r="C45" s="280"/>
      <c r="D45" s="280"/>
      <c r="E45" s="280"/>
      <c r="F45" s="280"/>
      <c r="G45" s="280"/>
      <c r="H45" s="280"/>
      <c r="I45" s="280"/>
      <c r="J45" s="280"/>
      <c r="K45" s="280"/>
      <c r="L45" s="280"/>
      <c r="M45" s="280"/>
      <c r="N45" s="280"/>
      <c r="P45" s="595">
        <f>IF(Beiträge!G21=18,1,IF(Beiträge!G21=20,2,3))</f>
        <v>3</v>
      </c>
    </row>
    <row r="46" spans="1:25" ht="6.75" customHeight="1" x14ac:dyDescent="0.25">
      <c r="A46" s="288"/>
    </row>
    <row r="47" spans="1:25" s="290" customFormat="1" ht="27" customHeight="1" x14ac:dyDescent="0.2">
      <c r="A47" s="289" t="s">
        <v>395</v>
      </c>
      <c r="B47" s="721" t="s">
        <v>396</v>
      </c>
      <c r="C47" s="722"/>
      <c r="D47" s="722"/>
      <c r="E47" s="722"/>
      <c r="F47" s="723"/>
      <c r="G47" s="721" t="s">
        <v>397</v>
      </c>
      <c r="H47" s="723"/>
      <c r="I47" s="721" t="s">
        <v>411</v>
      </c>
      <c r="J47" s="723"/>
      <c r="K47" s="729" t="s">
        <v>398</v>
      </c>
      <c r="L47" s="730"/>
      <c r="M47" s="729" t="s">
        <v>399</v>
      </c>
      <c r="N47" s="730"/>
      <c r="O47" s="362"/>
      <c r="P47" s="374"/>
      <c r="Q47" s="374"/>
      <c r="R47" s="374"/>
      <c r="S47" s="374"/>
      <c r="T47" s="374"/>
      <c r="U47" s="374"/>
      <c r="V47" s="374"/>
      <c r="W47" s="374"/>
      <c r="X47" s="374"/>
      <c r="Y47" s="362"/>
    </row>
    <row r="48" spans="1:25" s="290" customFormat="1" ht="16.5" customHeight="1" x14ac:dyDescent="0.25">
      <c r="A48" s="291"/>
      <c r="B48" s="292"/>
      <c r="C48" s="293" t="s">
        <v>400</v>
      </c>
      <c r="D48" s="293" t="s">
        <v>401</v>
      </c>
      <c r="E48" s="293" t="s">
        <v>358</v>
      </c>
      <c r="F48" s="294"/>
      <c r="G48" s="292"/>
      <c r="H48" s="294"/>
      <c r="I48" s="292"/>
      <c r="J48" s="294"/>
      <c r="K48" s="724">
        <f>100%-M48</f>
        <v>0.5</v>
      </c>
      <c r="L48" s="725"/>
      <c r="M48" s="724">
        <f>Input!J51</f>
        <v>0.5</v>
      </c>
      <c r="N48" s="726"/>
      <c r="O48" s="362"/>
      <c r="P48" s="379" t="s">
        <v>490</v>
      </c>
      <c r="Q48" s="379" t="s">
        <v>45</v>
      </c>
      <c r="R48" s="379" t="s">
        <v>501</v>
      </c>
      <c r="S48" s="379" t="s">
        <v>401</v>
      </c>
      <c r="T48" s="379" t="s">
        <v>17</v>
      </c>
      <c r="U48" s="379" t="s">
        <v>16</v>
      </c>
      <c r="V48" s="379" t="s">
        <v>60</v>
      </c>
      <c r="W48" s="379" t="s">
        <v>491</v>
      </c>
      <c r="X48" s="379" t="s">
        <v>492</v>
      </c>
      <c r="Y48" s="362"/>
    </row>
    <row r="49" spans="1:25" s="281" customFormat="1" ht="14.25" hidden="1" customHeight="1" x14ac:dyDescent="0.25">
      <c r="A49" s="629" t="s">
        <v>510</v>
      </c>
      <c r="B49" s="630">
        <f>IF(Input!J36=1,B51,0)</f>
        <v>0</v>
      </c>
      <c r="C49" s="631">
        <f>IF(Wertebereich!B$28=3,0,IF(AND(Wertebereich!$B$28=2,Wertebereich!$B$43=1),Wertebereich!$G13,IF(AND(Wertebereich!$B$28=1,Wertebereich!$B$43=1),Wertebereich!$F13,IF(AND(Wertebereich!$B$28=1,Wertebereich!$B$43=2),Wertebereich!$H13,Wertebereich!$I13))))</f>
        <v>0</v>
      </c>
      <c r="D49" s="631">
        <f>IF(Wertebereich!B$28=3,0,IF(Wertebereich!$B$65=1,Wertebereich!$F35,HLOOKUP(Wertebereich!$B$9,Wertebereich!$F$34:$N$42,2)+HLOOKUP(Wertebereich!$B$23,Wertebereich!$O$34:$Q$42,2)))</f>
        <v>0</v>
      </c>
      <c r="E49" s="631">
        <f>IF(Wertebereich!B$28=3,0,ROUND(IF(Wertebereich!$B$47=1,0,IF(Wertebereich!$B$47=6,7.5%*(C50+D50),Wertebereich!J13*G$33)),2))</f>
        <v>0</v>
      </c>
      <c r="F49" s="632" t="e">
        <f>IF(Wertebereich!$B$47=6,ROUND(C50/2,2)*2+D50+(E50*2),ROUND(C50/2,2)*2+D50+2*E50)</f>
        <v>#VALUE!</v>
      </c>
      <c r="G49" s="633" t="e">
        <f>IF(B49/Wertebereich!$F$91*100-B49&lt;F49,F49,ROUND((B49/Wertebereich!$F$91*100-B49)/2,2)*2)</f>
        <v>#VALUE!</v>
      </c>
      <c r="H49" s="634"/>
      <c r="I49" s="635" t="e">
        <f>IF(E49=99,"",B49+ROUND(G49/2,2)*2)</f>
        <v>#VALUE!</v>
      </c>
      <c r="J49" s="636"/>
      <c r="K49" s="637" t="e">
        <f>I49-M49</f>
        <v>#VALUE!</v>
      </c>
      <c r="L49" s="638"/>
      <c r="M49" s="637" t="e">
        <f>ROUNDUP(M$48*I49,2)</f>
        <v>#VALUE!</v>
      </c>
      <c r="N49" s="611"/>
      <c r="O49" s="360"/>
      <c r="P49" s="374">
        <v>0</v>
      </c>
      <c r="Q49" s="380">
        <f>INT(B49*100)/100</f>
        <v>0</v>
      </c>
      <c r="R49" s="380">
        <f>INT(C49*100)/100</f>
        <v>0</v>
      </c>
      <c r="S49" s="380">
        <f>INT(D49*100)/100</f>
        <v>0</v>
      </c>
      <c r="T49" s="380" t="e">
        <f>IF(Wertebereich!$B$47=1,0,U49-R49-S49)</f>
        <v>#VALUE!</v>
      </c>
      <c r="U49" s="380" t="e">
        <f>INT(G49*100)/100</f>
        <v>#VALUE!</v>
      </c>
      <c r="V49" s="380" t="e">
        <f>INT(I49*100)/100</f>
        <v>#VALUE!</v>
      </c>
      <c r="W49" s="380" t="e">
        <f>INT(K49*100)/100</f>
        <v>#VALUE!</v>
      </c>
      <c r="X49" s="380" t="e">
        <f>INT(M49*100)/100</f>
        <v>#VALUE!</v>
      </c>
      <c r="Y49" s="360"/>
    </row>
    <row r="50" spans="1:25" s="281" customFormat="1" ht="14.25" customHeight="1" x14ac:dyDescent="0.25">
      <c r="A50" s="295" t="str">
        <f>IF(P45=2,"20 - 24","18 - 24")</f>
        <v>18 - 24</v>
      </c>
      <c r="B50" s="612">
        <f>IF(Input!J36=3,0,B51)</f>
        <v>0</v>
      </c>
      <c r="C50" s="296">
        <f>IF(Wertebereich!B$28=3,0,IF(AND(Wertebereich!$B$28=2,Wertebereich!$B$43=1),Wertebereich!$G13,IF(AND(Wertebereich!$B$28=1,Wertebereich!$B$43=1),Wertebereich!$F13,IF(AND(Wertebereich!$B$28=1,Wertebereich!$B$43=2),Wertebereich!$H13,Wertebereich!$I13))))</f>
        <v>0</v>
      </c>
      <c r="D50" s="296">
        <f>IF(Wertebereich!B$28=3,0,IF(Wertebereich!$B$65=1,Wertebereich!$F35,HLOOKUP(Wertebereich!$B$9,Wertebereich!$F$34:$N$42,2)+HLOOKUP(Wertebereich!$B$23,Wertebereich!$O$34:$Q$42,2)))</f>
        <v>0</v>
      </c>
      <c r="E50" s="296">
        <f>IF(Wertebereich!B$28=3,0,ROUND(IF(Wertebereich!$B$47=1,0,IF(Wertebereich!$B$47=6,7.5%*(C50+D50),Wertebereich!J13*G$33)),2))</f>
        <v>0</v>
      </c>
      <c r="F50" s="344" t="e">
        <f>IF(Wertebereich!$B$47=6,ROUND(C50/2,2)*2+D50+E50*2,ROUND(C50/2,2)*2+D50+E50)</f>
        <v>#VALUE!</v>
      </c>
      <c r="G50" s="298" t="e">
        <f>IF(B50/Wertebereich!$F$91*100-B50&lt;F50,F50,ROUND((B50/Wertebereich!$F$91*100-B50)/2,2)*2)</f>
        <v>#VALUE!</v>
      </c>
      <c r="H50" s="297"/>
      <c r="I50" s="299" t="e">
        <f t="shared" ref="I50:I57" si="0">IF(E50=99,"",B50+ROUND(G50/2,2)*2)</f>
        <v>#VALUE!</v>
      </c>
      <c r="J50" s="300"/>
      <c r="K50" s="301" t="e">
        <f t="shared" ref="K50:K57" si="1">I50-M50</f>
        <v>#VALUE!</v>
      </c>
      <c r="L50" s="302"/>
      <c r="M50" s="301" t="e">
        <f t="shared" ref="M50:M57" si="2">ROUNDUP(M$48*I50,2)</f>
        <v>#VALUE!</v>
      </c>
      <c r="N50" s="303"/>
      <c r="O50" s="360"/>
      <c r="P50" s="374">
        <v>1</v>
      </c>
      <c r="Q50" s="380">
        <f t="shared" ref="Q50:R57" si="3">INT(B50*100)/100</f>
        <v>0</v>
      </c>
      <c r="R50" s="380">
        <f t="shared" si="3"/>
        <v>0</v>
      </c>
      <c r="S50" s="380">
        <f>D50</f>
        <v>0</v>
      </c>
      <c r="T50" s="380" t="e">
        <f>IF(Wertebereich!$B$47=1,0,IF(Wertebereich!$B$47=6,ROUND((Planbeschrieb!R50+Planbeschrieb!S50)*7.5%,2)*2,U50-R50-S50))</f>
        <v>#VALUE!</v>
      </c>
      <c r="U50" s="380" t="e">
        <f>G50</f>
        <v>#VALUE!</v>
      </c>
      <c r="V50" s="380" t="e">
        <f t="shared" ref="V50:V57" si="4">INT(I50*100)/100</f>
        <v>#VALUE!</v>
      </c>
      <c r="W50" s="380" t="e">
        <f t="shared" ref="W50:W57" si="5">INT(K50*100)/100</f>
        <v>#VALUE!</v>
      </c>
      <c r="X50" s="380" t="e">
        <f t="shared" ref="X50:X57" si="6">INT(M50*100)/100</f>
        <v>#VALUE!</v>
      </c>
      <c r="Y50" s="360"/>
    </row>
    <row r="51" spans="1:25" s="281" customFormat="1" x14ac:dyDescent="0.25">
      <c r="A51" s="683" t="s">
        <v>402</v>
      </c>
      <c r="B51" s="348" t="e">
        <f>HLOOKUP(Wertebereich!$B$9,Wertebereich!$F$3:$N$8,2)+HLOOKUP(Wertebereich!$B$23,Wertebereich!$F$25:$H$30,2)</f>
        <v>#VALUE!</v>
      </c>
      <c r="C51" s="296">
        <f>IF(Wertebereich!B$28=3,0,IF(AND(Wertebereich!$B$28=2,Wertebereich!$B$43=1),Wertebereich!$G14,IF(AND(Wertebereich!$B$28=1,Wertebereich!$B$43=1),Wertebereich!$F14,IF(AND(Wertebereich!$B$28=1,Wertebereich!$B$43=2),Wertebereich!$H14,Wertebereich!$I14))))</f>
        <v>0</v>
      </c>
      <c r="D51" s="296">
        <f>IF(Wertebereich!B$28=3,0,IF(Wertebereich!$B$65=1,Wertebereich!$F36,HLOOKUP(Wertebereich!$B$9,Wertebereich!$F$34:$N$42,3)+HLOOKUP(Wertebereich!$B$23,Wertebereich!$O$34:$Q$42,3)))</f>
        <v>0</v>
      </c>
      <c r="E51" s="296">
        <f>IF(Wertebereich!B$28=3,0,ROUND(IF(Wertebereich!$B$47=1,0,IF(Wertebereich!$B$47=6,7.5%*(C51+D51),Wertebereich!J14*G$33)),2))</f>
        <v>0</v>
      </c>
      <c r="F51" s="344" t="e">
        <f>IF(Wertebereich!$B$47=6,ROUND(C51/2,2)*2+D51+(E51*2),ROUND(C51/2,2)*2+D51+E51)</f>
        <v>#VALUE!</v>
      </c>
      <c r="G51" s="298" t="e">
        <f>IF(F51=0,0,IF(B51/Wertebereich!$F$91*100-B51&lt;F51,F51,ROUND((B51/Wertebereich!$F$91*100-B51)/2,2)*2))</f>
        <v>#VALUE!</v>
      </c>
      <c r="H51" s="297"/>
      <c r="I51" s="299" t="e">
        <f t="shared" si="0"/>
        <v>#VALUE!</v>
      </c>
      <c r="J51" s="300"/>
      <c r="K51" s="301" t="e">
        <f t="shared" si="1"/>
        <v>#VALUE!</v>
      </c>
      <c r="L51" s="302"/>
      <c r="M51" s="301" t="e">
        <f t="shared" si="2"/>
        <v>#VALUE!</v>
      </c>
      <c r="N51" s="304"/>
      <c r="O51" s="360"/>
      <c r="P51" s="374">
        <v>2</v>
      </c>
      <c r="Q51" s="380" t="e">
        <f t="shared" si="3"/>
        <v>#VALUE!</v>
      </c>
      <c r="R51" s="380">
        <f t="shared" si="3"/>
        <v>0</v>
      </c>
      <c r="S51" s="380">
        <f t="shared" ref="S51:S57" si="7">D51</f>
        <v>0</v>
      </c>
      <c r="T51" s="380" t="e">
        <f>IF(Wertebereich!$B$47=1,0,IF(Wertebereich!$B$47=6,ROUND((Planbeschrieb!R51+Planbeschrieb!S51)*7.5%,2)*2,U51-R51-S51))</f>
        <v>#VALUE!</v>
      </c>
      <c r="U51" s="380" t="e">
        <f t="shared" ref="U51:U56" si="8">G51</f>
        <v>#VALUE!</v>
      </c>
      <c r="V51" s="380" t="e">
        <f t="shared" si="4"/>
        <v>#VALUE!</v>
      </c>
      <c r="W51" s="380" t="e">
        <f t="shared" si="5"/>
        <v>#VALUE!</v>
      </c>
      <c r="X51" s="380" t="e">
        <f t="shared" si="6"/>
        <v>#VALUE!</v>
      </c>
      <c r="Y51" s="360"/>
    </row>
    <row r="52" spans="1:25" s="281" customFormat="1" x14ac:dyDescent="0.25">
      <c r="A52" s="683" t="s">
        <v>657</v>
      </c>
      <c r="B52" s="348" t="e">
        <f>HLOOKUP(Wertebereich!$B$9,Wertebereich!$F$3:$N$8,3)+HLOOKUP(Wertebereich!$B$23,Wertebereich!$F$25:$H$30,3)</f>
        <v>#VALUE!</v>
      </c>
      <c r="C52" s="296">
        <f>IF(Wertebereich!B$28=3,0,IF(AND(Wertebereich!$B$28=2,Wertebereich!$B$43=1),Wertebereich!$G15,IF(AND(Wertebereich!$B$28=1,Wertebereich!$B$43=1),Wertebereich!$F15,IF(AND(Wertebereich!$B$28=1,Wertebereich!$B$43=2),Wertebereich!$H15,Wertebereich!$I15))))</f>
        <v>0</v>
      </c>
      <c r="D52" s="296">
        <f>IF(Wertebereich!B$28=3,0,IF(Wertebereich!$B$65=1,Wertebereich!$F37,HLOOKUP(Wertebereich!$B$9,Wertebereich!$F$34:$N$42,4)+HLOOKUP(Wertebereich!$B$23,Wertebereich!$O$34:$Q$42,4)))</f>
        <v>0</v>
      </c>
      <c r="E52" s="296">
        <f>IF(Wertebereich!B$28=3,0,ROUND(IF(Wertebereich!$B$47=1,0,IF(Wertebereich!$B$47=6,7.5%*(C52+D52),Wertebereich!J15*G$33)),2))</f>
        <v>0</v>
      </c>
      <c r="F52" s="344" t="e">
        <f>IF(Wertebereich!$B$47=6,ROUND(C52/2,2)*2+D52+(E52*2),ROUND(C52/2,2)*2+D52+E52)</f>
        <v>#VALUE!</v>
      </c>
      <c r="G52" s="298" t="e">
        <f>IF(F52=0,0,IF(B52/Wertebereich!$F$91*100-B52&lt;F52,F52,ROUND((B52/Wertebereich!$F$91*100-B52)/2,2)*2))</f>
        <v>#VALUE!</v>
      </c>
      <c r="H52" s="297"/>
      <c r="I52" s="299" t="e">
        <f t="shared" si="0"/>
        <v>#VALUE!</v>
      </c>
      <c r="J52" s="300"/>
      <c r="K52" s="301" t="e">
        <f t="shared" si="1"/>
        <v>#VALUE!</v>
      </c>
      <c r="L52" s="302"/>
      <c r="M52" s="301" t="e">
        <f t="shared" si="2"/>
        <v>#VALUE!</v>
      </c>
      <c r="N52" s="304" t="e">
        <f>IF(B52="SIEHE SHEET2","PLANBESCHRIEB NR. 3 VERWENDEN!","")</f>
        <v>#VALUE!</v>
      </c>
      <c r="O52" s="360"/>
      <c r="P52" s="374">
        <v>3</v>
      </c>
      <c r="Q52" s="380" t="e">
        <f t="shared" si="3"/>
        <v>#VALUE!</v>
      </c>
      <c r="R52" s="380">
        <f t="shared" si="3"/>
        <v>0</v>
      </c>
      <c r="S52" s="380">
        <f t="shared" si="7"/>
        <v>0</v>
      </c>
      <c r="T52" s="380" t="e">
        <f>IF(Wertebereich!$B$47=1,0,IF(Wertebereich!$B$47=6,ROUND((Planbeschrieb!R52+Planbeschrieb!S52)*7.5%,2)*2,U52-R52-S52))</f>
        <v>#VALUE!</v>
      </c>
      <c r="U52" s="380" t="e">
        <f t="shared" si="8"/>
        <v>#VALUE!</v>
      </c>
      <c r="V52" s="380" t="e">
        <f t="shared" si="4"/>
        <v>#VALUE!</v>
      </c>
      <c r="W52" s="380" t="e">
        <f t="shared" si="5"/>
        <v>#VALUE!</v>
      </c>
      <c r="X52" s="380" t="e">
        <f t="shared" si="6"/>
        <v>#VALUE!</v>
      </c>
      <c r="Y52" s="360"/>
    </row>
    <row r="53" spans="1:25" s="281" customFormat="1" x14ac:dyDescent="0.25">
      <c r="A53" s="683" t="s">
        <v>658</v>
      </c>
      <c r="B53" s="348" t="e">
        <f>B52</f>
        <v>#VALUE!</v>
      </c>
      <c r="C53" s="296">
        <f>IF(Wertebereich!B$28=3,0,IF(AND(Wertebereich!$B$28=2,Wertebereich!$B$43=1),Wertebereich!$G16,IF(AND(Wertebereich!$B$28=1,Wertebereich!$B$43=1),Wertebereich!$F16,IF(AND(Wertebereich!$B$28=1,Wertebereich!$B$43=2),Wertebereich!$H16,Wertebereich!$I16))))</f>
        <v>0</v>
      </c>
      <c r="D53" s="296">
        <f>IF(Wertebereich!B$28=3,0,IF(Wertebereich!$B$65=1,Wertebereich!$F38,HLOOKUP(Wertebereich!$B$9,Wertebereich!$F$34:$N$42,5)+HLOOKUP(Wertebereich!$B$23,Wertebereich!$O$34:$Q$42,5)))</f>
        <v>0</v>
      </c>
      <c r="E53" s="296">
        <f>IF(Wertebereich!B$28=3,0,ROUND(IF(Wertebereich!$B$47=1,0,IF(Wertebereich!$B$47=6,7.5%*(C53+D53),Wertebereich!J16*G$33)),2))</f>
        <v>0</v>
      </c>
      <c r="F53" s="344" t="e">
        <f>IF(Wertebereich!$B$47=6,ROUND(C53/2,2)*2+D53+(E53*2),ROUND(C53/2,2)*2+D53+E53)</f>
        <v>#VALUE!</v>
      </c>
      <c r="G53" s="298" t="e">
        <f>IF(F53=0,0,IF(B53/Wertebereich!$F$91*100-B53&lt;F53,F53,ROUND((B53/Wertebereich!$F$91*100-B53)/2,2)*2))</f>
        <v>#VALUE!</v>
      </c>
      <c r="H53" s="297"/>
      <c r="I53" s="299" t="e">
        <f t="shared" si="0"/>
        <v>#VALUE!</v>
      </c>
      <c r="J53" s="300"/>
      <c r="K53" s="301" t="e">
        <f t="shared" si="1"/>
        <v>#VALUE!</v>
      </c>
      <c r="L53" s="302"/>
      <c r="M53" s="301" t="e">
        <f t="shared" si="2"/>
        <v>#VALUE!</v>
      </c>
      <c r="N53" s="304"/>
      <c r="O53" s="360"/>
      <c r="P53" s="374">
        <v>4</v>
      </c>
      <c r="Q53" s="380" t="e">
        <f>Q52</f>
        <v>#VALUE!</v>
      </c>
      <c r="R53" s="380">
        <f t="shared" si="3"/>
        <v>0</v>
      </c>
      <c r="S53" s="380">
        <f t="shared" si="7"/>
        <v>0</v>
      </c>
      <c r="T53" s="380" t="e">
        <f>IF(Wertebereich!$B$47=1,0,IF(Wertebereich!$B$47=6,ROUND((Planbeschrieb!R53+Planbeschrieb!S53)*7.5%,2)*2,U53-R53-S53))</f>
        <v>#VALUE!</v>
      </c>
      <c r="U53" s="380" t="e">
        <f t="shared" si="8"/>
        <v>#VALUE!</v>
      </c>
      <c r="V53" s="380" t="e">
        <f t="shared" si="4"/>
        <v>#VALUE!</v>
      </c>
      <c r="W53" s="380" t="e">
        <f t="shared" si="5"/>
        <v>#VALUE!</v>
      </c>
      <c r="X53" s="380" t="e">
        <f t="shared" si="6"/>
        <v>#VALUE!</v>
      </c>
      <c r="Y53" s="360"/>
    </row>
    <row r="54" spans="1:25" s="281" customFormat="1" x14ac:dyDescent="0.25">
      <c r="A54" s="683" t="s">
        <v>403</v>
      </c>
      <c r="B54" s="348" t="e">
        <f>HLOOKUP(Wertebereich!$B$9,Wertebereich!$F$3:$N$8,4)+HLOOKUP(Wertebereich!$B$23,Wertebereich!$F$25:$H$30,4)</f>
        <v>#VALUE!</v>
      </c>
      <c r="C54" s="296">
        <f>IF(Wertebereich!B$28=3,0,IF(AND(Wertebereich!$B$28=2,Wertebereich!$B$43=1),Wertebereich!$G17,IF(AND(Wertebereich!$B$28=1,Wertebereich!$B$43=1),Wertebereich!$F17,IF(AND(Wertebereich!$B$28=1,Wertebereich!$B$43=2),Wertebereich!$H17,Wertebereich!$I17))))</f>
        <v>0</v>
      </c>
      <c r="D54" s="296">
        <f>IF(Wertebereich!B$28=3,0,IF(Wertebereich!$B$65=1,Wertebereich!$F39,HLOOKUP(Wertebereich!$B$9,Wertebereich!$F$34:$N$42,6)+HLOOKUP(Wertebereich!$B$23,Wertebereich!$O$34:$Q$42,6)))</f>
        <v>0</v>
      </c>
      <c r="E54" s="296">
        <f>IF(Wertebereich!B$28=3,0,ROUND(IF(Wertebereich!$B$47=1,0,IF(Wertebereich!$B$47=6,7.5%*(C54+D54),Wertebereich!J17*G$33)),2))</f>
        <v>0</v>
      </c>
      <c r="F54" s="344" t="e">
        <f>IF(Wertebereich!$B$47=6,ROUND(C54/2,2)*2+D54+(E54*2),ROUND(C54/2,2)*2+D54+E54)</f>
        <v>#VALUE!</v>
      </c>
      <c r="G54" s="298" t="e">
        <f>IF(F54=0,0,IF(B54/Wertebereich!$F$91*100-B54&lt;F54,F54,ROUND((B54/Wertebereich!$F$91*100-B54)/2,2)*2))</f>
        <v>#VALUE!</v>
      </c>
      <c r="H54" s="297"/>
      <c r="I54" s="299" t="e">
        <f t="shared" si="0"/>
        <v>#VALUE!</v>
      </c>
      <c r="J54" s="300"/>
      <c r="K54" s="301" t="e">
        <f t="shared" si="1"/>
        <v>#VALUE!</v>
      </c>
      <c r="L54" s="302"/>
      <c r="M54" s="301" t="e">
        <f t="shared" si="2"/>
        <v>#VALUE!</v>
      </c>
      <c r="N54" s="303"/>
      <c r="O54" s="360"/>
      <c r="P54" s="374">
        <v>5</v>
      </c>
      <c r="Q54" s="380" t="e">
        <f t="shared" si="3"/>
        <v>#VALUE!</v>
      </c>
      <c r="R54" s="380">
        <f t="shared" si="3"/>
        <v>0</v>
      </c>
      <c r="S54" s="380">
        <f t="shared" si="7"/>
        <v>0</v>
      </c>
      <c r="T54" s="380" t="e">
        <f>IF(Wertebereich!$B$47=1,0,IF(Wertebereich!$B$47=6,ROUND((Planbeschrieb!R54+Planbeschrieb!S54)*7.5%,2)*2,U54-R54-S54))</f>
        <v>#VALUE!</v>
      </c>
      <c r="U54" s="380" t="e">
        <f t="shared" si="8"/>
        <v>#VALUE!</v>
      </c>
      <c r="V54" s="380" t="e">
        <f t="shared" si="4"/>
        <v>#VALUE!</v>
      </c>
      <c r="W54" s="380" t="e">
        <f t="shared" si="5"/>
        <v>#VALUE!</v>
      </c>
      <c r="X54" s="380" t="e">
        <f t="shared" si="6"/>
        <v>#VALUE!</v>
      </c>
      <c r="Y54" s="360"/>
    </row>
    <row r="55" spans="1:25" s="281" customFormat="1" x14ac:dyDescent="0.25">
      <c r="A55" s="683" t="s">
        <v>659</v>
      </c>
      <c r="B55" s="348" t="e">
        <f>HLOOKUP(Wertebereich!$B$9,Wertebereich!$F$3:$N$8,5)+HLOOKUP(Wertebereich!$B$23,Wertebereich!$F$25:$H$30,5)</f>
        <v>#VALUE!</v>
      </c>
      <c r="C55" s="296">
        <f>IF(Wertebereich!B$28=3,0,IF(AND(Wertebereich!$B$28=2,Wertebereich!$B$43=1),Wertebereich!$G18,IF(AND(Wertebereich!$B$28=1,Wertebereich!$B$43=1),Wertebereich!$F18,IF(AND(Wertebereich!$B$28=1,Wertebereich!$B$43=2),Wertebereich!$H18,Wertebereich!$I18))))</f>
        <v>0</v>
      </c>
      <c r="D55" s="296">
        <f>IF(Wertebereich!B$28=3,0,IF(Wertebereich!$B$65=1,Wertebereich!$F40,HLOOKUP(Wertebereich!$B$9,Wertebereich!$F$34:$N$42,7)+HLOOKUP(Wertebereich!$B$23,Wertebereich!$O$34:$Q$42,7)))</f>
        <v>0</v>
      </c>
      <c r="E55" s="296">
        <f>IF(Wertebereich!B$28=3,0,ROUND(IF(Wertebereich!$B$47=1,0,IF(Wertebereich!$B$47=6,7.5%*(C55+D55),Wertebereich!J18*G$33)),2))</f>
        <v>0</v>
      </c>
      <c r="F55" s="344" t="e">
        <f>IF(Wertebereich!$B$47=6,ROUND(C55/2,2)*2+D55+(E55*2),ROUND(C55/2,2)*2+D55+E55)</f>
        <v>#VALUE!</v>
      </c>
      <c r="G55" s="298" t="e">
        <f>IF(F55=0,0,IF(B55/Wertebereich!$F$91*100-B55&lt;F55,F55,ROUND((B55/Wertebereich!$F$91*100-B55)/2,2)*2))</f>
        <v>#VALUE!</v>
      </c>
      <c r="H55" s="297"/>
      <c r="I55" s="299" t="e">
        <f t="shared" si="0"/>
        <v>#VALUE!</v>
      </c>
      <c r="J55" s="300"/>
      <c r="K55" s="301" t="e">
        <f t="shared" si="1"/>
        <v>#VALUE!</v>
      </c>
      <c r="L55" s="302"/>
      <c r="M55" s="301" t="e">
        <f t="shared" si="2"/>
        <v>#VALUE!</v>
      </c>
      <c r="N55" s="303"/>
      <c r="O55" s="360"/>
      <c r="P55" s="374">
        <v>6</v>
      </c>
      <c r="Q55" s="380" t="e">
        <f t="shared" si="3"/>
        <v>#VALUE!</v>
      </c>
      <c r="R55" s="380">
        <f t="shared" si="3"/>
        <v>0</v>
      </c>
      <c r="S55" s="380">
        <f t="shared" si="7"/>
        <v>0</v>
      </c>
      <c r="T55" s="380" t="e">
        <f>IF(Wertebereich!$B$47=1,0,IF(Wertebereich!$B$47=6,ROUND((Planbeschrieb!R55+Planbeschrieb!S55)*7.5%,2)*2,U55-R55-S55))</f>
        <v>#VALUE!</v>
      </c>
      <c r="U55" s="380" t="e">
        <f t="shared" si="8"/>
        <v>#VALUE!</v>
      </c>
      <c r="V55" s="380" t="e">
        <f t="shared" si="4"/>
        <v>#VALUE!</v>
      </c>
      <c r="W55" s="380" t="e">
        <f t="shared" si="5"/>
        <v>#VALUE!</v>
      </c>
      <c r="X55" s="380" t="e">
        <f t="shared" si="6"/>
        <v>#VALUE!</v>
      </c>
      <c r="Y55" s="360"/>
    </row>
    <row r="56" spans="1:25" s="281" customFormat="1" x14ac:dyDescent="0.25">
      <c r="A56" s="683" t="s">
        <v>660</v>
      </c>
      <c r="B56" s="348" t="e">
        <f>B55</f>
        <v>#VALUE!</v>
      </c>
      <c r="C56" s="296">
        <f>IF(Wertebereich!B$28=3,0,IF(AND(Wertebereich!$B$28=2,Wertebereich!$B$43=1),Wertebereich!$G19,IF(AND(Wertebereich!$B$28=1,Wertebereich!$B$43=1),Wertebereich!$F19,IF(AND(Wertebereich!$B$28=1,Wertebereich!$B$43=2),Wertebereich!$H19,Wertebereich!$I19))))</f>
        <v>0</v>
      </c>
      <c r="D56" s="296">
        <f>IF(Wertebereich!B$28=3,0,IF(Wertebereich!$B$65=1,Wertebereich!$F41,HLOOKUP(Wertebereich!$B$9,Wertebereich!$F$34:$N$42,8)+HLOOKUP(Wertebereich!$B$23,Wertebereich!$O$34:$Q$42,8)))</f>
        <v>0</v>
      </c>
      <c r="E56" s="296">
        <f>IF(Wertebereich!B$28=3,0,ROUND(IF(Wertebereich!$B$47=1,0,IF(Wertebereich!$B$47=6,7.5%*(C56+D56),Wertebereich!J19*G$33)),2))</f>
        <v>0</v>
      </c>
      <c r="F56" s="344" t="e">
        <f>IF(Wertebereich!$B$47=6,ROUND(C56/2,2)*2+D56+(E56*2),ROUND(C56/2,2)*2+D56+E56)</f>
        <v>#VALUE!</v>
      </c>
      <c r="G56" s="298" t="e">
        <f>IF(F56=0,0,IF(B56/Wertebereich!$F$91*100-B56&lt;F56,F56,ROUND((B56/Wertebereich!$F$91*100-B56)/2,2)*2))</f>
        <v>#VALUE!</v>
      </c>
      <c r="H56" s="297"/>
      <c r="I56" s="299" t="e">
        <f t="shared" si="0"/>
        <v>#VALUE!</v>
      </c>
      <c r="J56" s="300"/>
      <c r="K56" s="301" t="e">
        <f t="shared" si="1"/>
        <v>#VALUE!</v>
      </c>
      <c r="L56" s="302"/>
      <c r="M56" s="301" t="e">
        <f t="shared" si="2"/>
        <v>#VALUE!</v>
      </c>
      <c r="N56" s="303"/>
      <c r="O56" s="360"/>
      <c r="P56" s="374">
        <v>7</v>
      </c>
      <c r="Q56" s="380" t="e">
        <f>Q55</f>
        <v>#VALUE!</v>
      </c>
      <c r="R56" s="380">
        <f t="shared" si="3"/>
        <v>0</v>
      </c>
      <c r="S56" s="380">
        <f t="shared" si="7"/>
        <v>0</v>
      </c>
      <c r="T56" s="380" t="e">
        <f>IF(Wertebereich!$B$47=1,0,IF(Wertebereich!$B$47=6,ROUND((Planbeschrieb!R56+Planbeschrieb!S56)*7.5%,2)*2,U56-R56-S56))</f>
        <v>#VALUE!</v>
      </c>
      <c r="U56" s="380" t="e">
        <f t="shared" si="8"/>
        <v>#VALUE!</v>
      </c>
      <c r="V56" s="380" t="e">
        <f t="shared" si="4"/>
        <v>#VALUE!</v>
      </c>
      <c r="W56" s="380" t="e">
        <f t="shared" si="5"/>
        <v>#VALUE!</v>
      </c>
      <c r="X56" s="380" t="e">
        <f t="shared" si="6"/>
        <v>#VALUE!</v>
      </c>
      <c r="Y56" s="360"/>
    </row>
    <row r="57" spans="1:25" s="281" customFormat="1" x14ac:dyDescent="0.25">
      <c r="A57" s="683" t="s">
        <v>661</v>
      </c>
      <c r="B57" s="348" t="e">
        <f>HLOOKUP(Wertebereich!$B$9,Wertebereich!$F$3:$N$8,6)+HLOOKUP(Wertebereich!$B$23,Wertebereich!$F$25:$H$30,6)</f>
        <v>#VALUE!</v>
      </c>
      <c r="C57" s="296">
        <f>IF(Wertebereich!B$28=3,0,IF(AND(Wertebereich!$B$28=2,Wertebereich!$B$43=1),Wertebereich!$G20*G$28*10,IF(AND(Wertebereich!$B$28=1,Wertebereich!$B$43=1),Wertebereich!$F20,IF(AND(Wertebereich!$B$28=1,Wertebereich!$B$43=2),Wertebereich!$H20,Wertebereich!$I20*G$28*10))))</f>
        <v>0</v>
      </c>
      <c r="D57" s="296">
        <f>IF(Wertebereich!B$28=3,0,IF(Wertebereich!$B$65=1,Wertebereich!$F42,HLOOKUP(Wertebereich!$B$9,Wertebereich!$F$34:$N$42,9)+HLOOKUP(Wertebereich!$B$23,Wertebereich!$O$34:$Q$42,7)))</f>
        <v>0</v>
      </c>
      <c r="E57" s="296">
        <f>IF(Wertebereich!B$28=3,0,ROUND(IF(Wertebereich!$B$47=1,0,IF(Wertebereich!$B$47=6,7.5%*(C57+D57),Wertebereich!J20*G$33)),2))</f>
        <v>0</v>
      </c>
      <c r="F57" s="344" t="e">
        <f>IF(Wertebereich!$B$47=6,ROUND(C57/2,2)*2+D57+(E57*2),ROUND(C57/2,2)*2+D57+E57)</f>
        <v>#VALUE!</v>
      </c>
      <c r="G57" s="298" t="e">
        <f>IF(Wertebereich!$B$47=6,ROUND(C57/2,2)*2+D57+(E57*2),ROUND(C57/2,2)*2+D57+E57)</f>
        <v>#VALUE!</v>
      </c>
      <c r="H57" s="297"/>
      <c r="I57" s="299" t="e">
        <f t="shared" si="0"/>
        <v>#VALUE!</v>
      </c>
      <c r="J57" s="300"/>
      <c r="K57" s="301" t="e">
        <f t="shared" si="1"/>
        <v>#VALUE!</v>
      </c>
      <c r="L57" s="302"/>
      <c r="M57" s="301" t="e">
        <f t="shared" si="2"/>
        <v>#VALUE!</v>
      </c>
      <c r="N57" s="303"/>
      <c r="O57" s="360"/>
      <c r="P57" s="374">
        <v>8</v>
      </c>
      <c r="Q57" s="380" t="e">
        <f t="shared" si="3"/>
        <v>#VALUE!</v>
      </c>
      <c r="R57" s="380">
        <f t="shared" si="3"/>
        <v>0</v>
      </c>
      <c r="S57" s="380">
        <f t="shared" si="7"/>
        <v>0</v>
      </c>
      <c r="T57" s="380" t="e">
        <f>IF(Wertebereich!$B$47=1,0,IF(Wertebereich!$B$47=6,ROUND((Planbeschrieb!R57+Planbeschrieb!S57)*7.5%,2)*2,U57-R57-S57))</f>
        <v>#VALUE!</v>
      </c>
      <c r="U57" s="380" t="e">
        <f t="shared" ref="U57" si="9">INT(G57*100)/100</f>
        <v>#VALUE!</v>
      </c>
      <c r="V57" s="380" t="e">
        <f t="shared" si="4"/>
        <v>#VALUE!</v>
      </c>
      <c r="W57" s="380" t="e">
        <f t="shared" si="5"/>
        <v>#VALUE!</v>
      </c>
      <c r="X57" s="380" t="e">
        <f t="shared" si="6"/>
        <v>#VALUE!</v>
      </c>
      <c r="Y57" s="360"/>
    </row>
    <row r="58" spans="1:25" ht="16.5" customHeight="1" x14ac:dyDescent="0.25">
      <c r="A58" s="719" t="s">
        <v>541</v>
      </c>
      <c r="B58" s="720"/>
      <c r="C58" s="720"/>
      <c r="D58" s="720"/>
      <c r="E58" s="720"/>
      <c r="F58" s="720"/>
      <c r="G58" s="720"/>
      <c r="H58" s="720"/>
      <c r="I58" s="720"/>
      <c r="J58" s="720"/>
      <c r="K58" s="720"/>
      <c r="L58" s="720"/>
      <c r="M58" s="720"/>
      <c r="Q58" s="380"/>
      <c r="R58" s="380"/>
      <c r="S58" s="380"/>
      <c r="T58" s="380"/>
    </row>
    <row r="59" spans="1:25" ht="8.25" customHeight="1" x14ac:dyDescent="0.25">
      <c r="A59" s="411"/>
      <c r="B59" s="412"/>
      <c r="C59" s="412"/>
      <c r="D59" s="412"/>
      <c r="E59" s="412"/>
      <c r="F59" s="412"/>
      <c r="G59" s="412"/>
      <c r="H59" s="412"/>
      <c r="I59" s="412"/>
      <c r="J59" s="412"/>
      <c r="K59" s="412"/>
      <c r="L59" s="412"/>
      <c r="M59" s="412"/>
      <c r="Q59" s="380"/>
      <c r="R59" s="380"/>
      <c r="S59" s="380"/>
      <c r="T59" s="380"/>
    </row>
    <row r="60" spans="1:25" s="413" customFormat="1" ht="12.75" customHeight="1" x14ac:dyDescent="0.25">
      <c r="A60" s="417">
        <f>Versicherungsausweis!A40</f>
        <v>0</v>
      </c>
      <c r="O60" s="414"/>
      <c r="P60" s="415"/>
      <c r="Q60" s="415"/>
      <c r="R60" s="415"/>
      <c r="S60" s="415"/>
      <c r="T60" s="415"/>
      <c r="U60" s="415"/>
      <c r="V60" s="415"/>
      <c r="W60" s="415"/>
      <c r="X60" s="415"/>
      <c r="Y60" s="414"/>
    </row>
    <row r="61" spans="1:25" s="413" customFormat="1" ht="12.75" customHeight="1" x14ac:dyDescent="0.15">
      <c r="A61" s="417">
        <f>Versicherungsausweis!A41</f>
        <v>0</v>
      </c>
      <c r="B61" s="418"/>
      <c r="C61" s="418"/>
      <c r="D61" s="418"/>
      <c r="E61" s="418"/>
      <c r="F61" s="418"/>
      <c r="G61" s="418"/>
      <c r="K61" s="416"/>
      <c r="L61" s="416"/>
      <c r="N61" s="471" t="str">
        <f ca="1">Versicherungsausweis!J42</f>
        <v>24.2.26 / V 24.02.2026</v>
      </c>
      <c r="O61" s="414"/>
      <c r="P61" s="415"/>
      <c r="Q61" s="415"/>
      <c r="R61" s="415"/>
      <c r="S61" s="415"/>
      <c r="T61" s="415"/>
      <c r="U61" s="415"/>
      <c r="V61" s="415"/>
      <c r="W61" s="415"/>
      <c r="X61" s="415"/>
      <c r="Y61" s="414"/>
    </row>
    <row r="62" spans="1:25" ht="6.75" customHeight="1" x14ac:dyDescent="0.25"/>
    <row r="65" spans="2:22" x14ac:dyDescent="0.25">
      <c r="B65" s="567"/>
      <c r="G65" s="567"/>
      <c r="I65" s="566"/>
      <c r="P65" s="279"/>
      <c r="Q65" s="567"/>
      <c r="R65" s="567"/>
      <c r="S65" s="567"/>
      <c r="T65" s="567"/>
      <c r="U65" s="567"/>
      <c r="V65" s="566"/>
    </row>
    <row r="66" spans="2:22" x14ac:dyDescent="0.25">
      <c r="B66" s="566"/>
      <c r="G66" s="567"/>
      <c r="I66" s="566"/>
      <c r="P66" s="279"/>
      <c r="Q66" s="566"/>
      <c r="R66" s="566"/>
      <c r="S66" s="566"/>
      <c r="T66" s="566"/>
      <c r="U66" s="567"/>
      <c r="V66" s="566"/>
    </row>
    <row r="67" spans="2:22" x14ac:dyDescent="0.25">
      <c r="B67" s="566"/>
      <c r="G67" s="567"/>
      <c r="I67" s="566"/>
      <c r="P67" s="279"/>
      <c r="Q67" s="566"/>
      <c r="R67" s="566"/>
      <c r="S67" s="566"/>
      <c r="T67" s="566"/>
      <c r="U67" s="567"/>
      <c r="V67" s="566"/>
    </row>
    <row r="68" spans="2:22" x14ac:dyDescent="0.25">
      <c r="B68" s="566"/>
      <c r="G68" s="567"/>
      <c r="I68" s="566"/>
      <c r="P68" s="279"/>
      <c r="Q68" s="566"/>
      <c r="R68" s="566"/>
      <c r="S68" s="566"/>
      <c r="T68" s="566"/>
      <c r="U68" s="567"/>
      <c r="V68" s="566"/>
    </row>
    <row r="69" spans="2:22" x14ac:dyDescent="0.25">
      <c r="B69" s="566"/>
      <c r="G69" s="567"/>
      <c r="I69" s="566"/>
      <c r="P69" s="279"/>
      <c r="Q69" s="566"/>
      <c r="R69" s="566"/>
      <c r="S69" s="566"/>
      <c r="T69" s="566"/>
      <c r="U69" s="567"/>
      <c r="V69" s="566"/>
    </row>
    <row r="70" spans="2:22" x14ac:dyDescent="0.25">
      <c r="B70" s="566"/>
      <c r="G70" s="567"/>
      <c r="I70" s="566"/>
      <c r="P70" s="279"/>
      <c r="Q70" s="566"/>
      <c r="R70" s="566"/>
      <c r="S70" s="566"/>
      <c r="T70" s="566"/>
      <c r="U70" s="567"/>
      <c r="V70" s="566"/>
    </row>
  </sheetData>
  <sheetProtection algorithmName="SHA-512" hashValue="oLeNWI3Xq1Jt35aSUxW51VWgozI4Aqecyh0nlGWjJvAO/JyANCEXHtcWs+wML/KL8KXjhFAfI//YBy9gKum/iw==" saltValue="eTTjSVp6nfm0rxRQkkMkVg==" spinCount="100000" sheet="1" objects="1" scenarios="1" selectLockedCells="1" selectUnlockedCells="1"/>
  <mergeCells count="16">
    <mergeCell ref="I2:N2"/>
    <mergeCell ref="A41:N41"/>
    <mergeCell ref="I47:J47"/>
    <mergeCell ref="K47:L47"/>
    <mergeCell ref="M47:N47"/>
    <mergeCell ref="A40:N40"/>
    <mergeCell ref="A22:N22"/>
    <mergeCell ref="A15:N15"/>
    <mergeCell ref="A16:N16"/>
    <mergeCell ref="A18:N18"/>
    <mergeCell ref="A6:N6"/>
    <mergeCell ref="A58:M58"/>
    <mergeCell ref="B47:F47"/>
    <mergeCell ref="G47:H47"/>
    <mergeCell ref="K48:L48"/>
    <mergeCell ref="M48:N48"/>
  </mergeCells>
  <phoneticPr fontId="7" type="noConversion"/>
  <conditionalFormatting sqref="A6:N6">
    <cfRule type="cellIs" dxfId="4" priority="2" stopIfTrue="1" operator="notEqual">
      <formula>""</formula>
    </cfRule>
  </conditionalFormatting>
  <pageMargins left="0.59055118110236227" right="0.39370078740157483" top="0.39370078740157483" bottom="0.39370078740157483" header="0.51181102362204722" footer="0.43307086614173229"/>
  <pageSetup paperSize="9" scale="90" orientation="portrait" r:id="rId1"/>
  <headerFooter alignWithMargins="0"/>
  <customProperties>
    <customPr name="SSCSheetTrackingNo"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2"/>
  </sheetPr>
  <dimension ref="A1:X125"/>
  <sheetViews>
    <sheetView showGridLines="0" topLeftCell="A7" zoomScale="150" workbookViewId="0">
      <selection activeCell="J17" sqref="J17"/>
    </sheetView>
  </sheetViews>
  <sheetFormatPr baseColWidth="10" defaultRowHeight="13.2" x14ac:dyDescent="0.25"/>
  <cols>
    <col min="1" max="8" width="2.5546875" customWidth="1"/>
    <col min="9" max="9" width="1.44140625" customWidth="1"/>
    <col min="10" max="10" width="13" customWidth="1"/>
    <col min="12" max="12" width="9.88671875" customWidth="1"/>
    <col min="13" max="16" width="2.5546875" customWidth="1"/>
    <col min="17" max="17" width="1" customWidth="1"/>
    <col min="18" max="18" width="12.88671875" customWidth="1"/>
    <col min="19" max="19" width="6.44140625" customWidth="1"/>
    <col min="20" max="20" width="4.6640625" customWidth="1"/>
    <col min="22" max="22" width="3.33203125" style="482" customWidth="1"/>
    <col min="23" max="23" width="3" style="483" customWidth="1"/>
    <col min="24" max="24" width="31.33203125" style="483" customWidth="1"/>
  </cols>
  <sheetData>
    <row r="1" spans="1:24" ht="76.5" customHeight="1" x14ac:dyDescent="0.25"/>
    <row r="2" spans="1:24" ht="17.399999999999999" x14ac:dyDescent="0.3">
      <c r="A2" s="381" t="s">
        <v>485</v>
      </c>
      <c r="B2" s="381"/>
      <c r="C2" s="381"/>
      <c r="D2" s="381"/>
      <c r="E2" s="381"/>
      <c r="F2" s="381"/>
      <c r="G2" s="381"/>
      <c r="H2" s="381"/>
      <c r="I2" s="28"/>
      <c r="J2" s="28"/>
      <c r="V2" s="482">
        <f>LEN(J4)</f>
        <v>1</v>
      </c>
    </row>
    <row r="3" spans="1:24" ht="25.5" customHeight="1" thickBot="1" x14ac:dyDescent="0.3">
      <c r="V3" s="482">
        <f>LEN(J17)</f>
        <v>0</v>
      </c>
    </row>
    <row r="4" spans="1:24" s="1" customFormat="1" ht="15.75" customHeight="1" thickBot="1" x14ac:dyDescent="0.3">
      <c r="H4" s="398" t="s">
        <v>486</v>
      </c>
      <c r="J4" s="396">
        <f>Beiträge!C21</f>
        <v>0</v>
      </c>
      <c r="K4" s="385"/>
      <c r="L4" s="385"/>
      <c r="M4" s="385"/>
      <c r="N4" s="385"/>
      <c r="O4" s="385"/>
      <c r="P4" s="399" t="s">
        <v>459</v>
      </c>
      <c r="Q4" s="385"/>
      <c r="R4" s="401" t="e">
        <f>CONCATENATE(M7,N8,O9,P10)</f>
        <v>#VALUE!</v>
      </c>
      <c r="V4" s="2" t="str">
        <f>MID($J$4,1,1)</f>
        <v>0</v>
      </c>
      <c r="W4" s="2">
        <v>1</v>
      </c>
      <c r="X4" s="2" t="s">
        <v>469</v>
      </c>
    </row>
    <row r="5" spans="1:24" s="1" customFormat="1" ht="8.25" customHeight="1" x14ac:dyDescent="0.25">
      <c r="K5" s="392"/>
      <c r="L5" s="393"/>
      <c r="M5" s="393"/>
      <c r="N5" s="393"/>
      <c r="O5" s="393"/>
      <c r="P5" s="393"/>
      <c r="Q5" s="393"/>
      <c r="R5" s="393"/>
      <c r="S5" s="392"/>
      <c r="V5" s="484"/>
      <c r="W5" s="2">
        <v>2</v>
      </c>
      <c r="X5" s="2" t="s">
        <v>470</v>
      </c>
    </row>
    <row r="6" spans="1:24" s="1" customFormat="1" ht="15.75" customHeight="1" x14ac:dyDescent="0.25">
      <c r="J6" s="12" t="str">
        <f>IF(V2&lt;&gt;8,"8 STELLEN!","")</f>
        <v>8 STELLEN!</v>
      </c>
      <c r="L6" s="382"/>
      <c r="M6" s="12"/>
      <c r="N6" s="12"/>
      <c r="O6" s="12"/>
      <c r="P6" s="12"/>
      <c r="Q6" s="382"/>
      <c r="R6" s="382"/>
      <c r="V6" s="484"/>
      <c r="W6" s="2">
        <v>5</v>
      </c>
      <c r="X6" s="2" t="s">
        <v>499</v>
      </c>
    </row>
    <row r="7" spans="1:24" s="1" customFormat="1" ht="15.75" customHeight="1" x14ac:dyDescent="0.25">
      <c r="A7" s="386">
        <f>V4/100*100</f>
        <v>0</v>
      </c>
      <c r="B7" s="386"/>
      <c r="C7" s="386"/>
      <c r="D7" s="386"/>
      <c r="E7" s="386"/>
      <c r="F7" s="386"/>
      <c r="G7" s="386"/>
      <c r="H7" s="386"/>
      <c r="I7" s="383"/>
      <c r="J7" s="1" t="str">
        <f>IF(AND(A7&lt;&gt;1,A7&lt;&gt;2,A7&lt;&gt;5),"ACHTUNG: NUR 1 ODER 2!",VLOOKUP(A7,$W$4:$X$6,2))</f>
        <v>ACHTUNG: NUR 1 ODER 2!</v>
      </c>
      <c r="M7" s="402" t="e">
        <f>E11</f>
        <v>#VALUE!</v>
      </c>
      <c r="N7" s="390"/>
      <c r="O7" s="390"/>
      <c r="P7" s="390"/>
      <c r="R7" s="1" t="e">
        <f>J11</f>
        <v>#VALUE!</v>
      </c>
      <c r="V7" s="484" t="str">
        <f>MID($J$4,2,1)</f>
        <v/>
      </c>
      <c r="W7" s="2">
        <v>1</v>
      </c>
      <c r="X7" s="2" t="s">
        <v>172</v>
      </c>
    </row>
    <row r="8" spans="1:24" s="1" customFormat="1" ht="15.75" customHeight="1" x14ac:dyDescent="0.25">
      <c r="A8" s="387"/>
      <c r="B8" s="386" t="e">
        <f>V7/100*100</f>
        <v>#VALUE!</v>
      </c>
      <c r="C8" s="388"/>
      <c r="D8" s="388"/>
      <c r="E8" s="388"/>
      <c r="F8" s="388"/>
      <c r="G8" s="388"/>
      <c r="H8" s="388"/>
      <c r="I8" s="383"/>
      <c r="J8" s="1" t="e">
        <f>IF(AND(B8&lt;&gt;1,B8&lt;&gt;2,B8&lt;&gt;3),"ACHTUNG: NUR 1 ODER 2!",VLOOKUP(B8,$W$7:$X$9,2))</f>
        <v>#VALUE!</v>
      </c>
      <c r="M8" s="21"/>
      <c r="N8" s="402" t="e">
        <f>F12</f>
        <v>#VALUE!</v>
      </c>
      <c r="O8" s="390"/>
      <c r="P8" s="390"/>
      <c r="Q8" s="384"/>
      <c r="R8" s="1" t="e">
        <f>J12</f>
        <v>#VALUE!</v>
      </c>
      <c r="V8" s="484"/>
      <c r="W8" s="2">
        <v>2</v>
      </c>
      <c r="X8" s="2" t="s">
        <v>484</v>
      </c>
    </row>
    <row r="9" spans="1:24" s="1" customFormat="1" ht="15.75" customHeight="1" x14ac:dyDescent="0.25">
      <c r="A9" s="387"/>
      <c r="B9" s="389"/>
      <c r="C9" s="386" t="e">
        <f>V10/100*100</f>
        <v>#VALUE!</v>
      </c>
      <c r="D9" s="388"/>
      <c r="E9" s="388"/>
      <c r="F9" s="388"/>
      <c r="G9" s="388"/>
      <c r="H9" s="388"/>
      <c r="I9" s="383"/>
      <c r="J9" s="1" t="e">
        <f>IF(AND(C9&lt;&gt;0,C9&lt;&gt;1,C9&lt;&gt;2),"ACHTUNG: NUR 0, 1 ODER 2!",VLOOKUP(C9,$W$10:$X$12,2))</f>
        <v>#VALUE!</v>
      </c>
      <c r="M9" s="21"/>
      <c r="N9" s="21"/>
      <c r="O9" s="390" t="e">
        <f>VLOOKUP(V50,W50:X54,2)</f>
        <v>#N/A</v>
      </c>
      <c r="P9" s="390"/>
      <c r="R9" s="1" t="e">
        <f>VLOOKUP(O9,W42:X46,2)</f>
        <v>#N/A</v>
      </c>
      <c r="V9" s="484"/>
      <c r="W9" s="2">
        <v>3</v>
      </c>
      <c r="X9" s="2" t="s">
        <v>365</v>
      </c>
    </row>
    <row r="10" spans="1:24" s="1" customFormat="1" ht="15.75" customHeight="1" x14ac:dyDescent="0.25">
      <c r="A10" s="387"/>
      <c r="B10" s="389"/>
      <c r="C10" s="389"/>
      <c r="D10" s="386" t="e">
        <f>V13/100*100</f>
        <v>#VALUE!</v>
      </c>
      <c r="E10" s="386"/>
      <c r="F10" s="386"/>
      <c r="G10" s="386"/>
      <c r="H10" s="386"/>
      <c r="I10" s="383"/>
      <c r="J10" s="1" t="e">
        <f>IF(AND(D10&lt;&gt;0,D10&lt;&gt;1),"ACHTUNG: NUR 0 ODER 1!",VLOOKUP(D10,$W$13:$X$14,2))</f>
        <v>#VALUE!</v>
      </c>
      <c r="M10" s="21"/>
      <c r="N10" s="67"/>
      <c r="O10" s="67"/>
      <c r="P10" s="391" t="s">
        <v>265</v>
      </c>
      <c r="R10" s="1" t="s">
        <v>460</v>
      </c>
      <c r="V10" s="484" t="str">
        <f>MID($J$4,3,1)</f>
        <v/>
      </c>
      <c r="W10" s="2">
        <v>0</v>
      </c>
      <c r="X10" s="2" t="s">
        <v>473</v>
      </c>
    </row>
    <row r="11" spans="1:24" s="1" customFormat="1" ht="15.75" customHeight="1" x14ac:dyDescent="0.25">
      <c r="A11" s="387"/>
      <c r="B11" s="389"/>
      <c r="C11" s="389"/>
      <c r="D11" s="389"/>
      <c r="E11" s="386" t="e">
        <f>V15/100*100</f>
        <v>#VALUE!</v>
      </c>
      <c r="F11" s="386"/>
      <c r="G11" s="386"/>
      <c r="H11" s="386"/>
      <c r="I11" s="383"/>
      <c r="J11" s="1" t="e">
        <f>VLOOKUP(E11,$W$15:$X$23,2)</f>
        <v>#VALUE!</v>
      </c>
      <c r="V11" s="484"/>
      <c r="W11" s="2">
        <v>1</v>
      </c>
      <c r="X11" s="2" t="s">
        <v>471</v>
      </c>
    </row>
    <row r="12" spans="1:24" s="1" customFormat="1" ht="15.75" customHeight="1" x14ac:dyDescent="0.25">
      <c r="A12" s="387"/>
      <c r="B12" s="389"/>
      <c r="C12" s="389"/>
      <c r="D12" s="389"/>
      <c r="E12" s="389"/>
      <c r="F12" s="386" t="e">
        <f>V24/100*100</f>
        <v>#VALUE!</v>
      </c>
      <c r="G12" s="386"/>
      <c r="H12" s="386"/>
      <c r="I12" s="383"/>
      <c r="J12" s="1" t="e">
        <f>IF(AND(F12&lt;&gt;0,F12&lt;&gt;1,F12&lt;&gt;2),"ACHTUNG: NUR 0, 1 ODER 2!",VLOOKUP(F12,$W$24:$X$26,2))</f>
        <v>#VALUE!</v>
      </c>
      <c r="V12" s="484"/>
      <c r="W12" s="2">
        <v>2</v>
      </c>
      <c r="X12" s="2" t="s">
        <v>472</v>
      </c>
    </row>
    <row r="13" spans="1:24" s="1" customFormat="1" ht="15.75" customHeight="1" x14ac:dyDescent="0.25">
      <c r="A13" s="387"/>
      <c r="B13" s="389"/>
      <c r="C13" s="389"/>
      <c r="D13" s="389"/>
      <c r="E13" s="389"/>
      <c r="F13" s="389"/>
      <c r="G13" s="386" t="e">
        <f>V27/100*100</f>
        <v>#VALUE!</v>
      </c>
      <c r="H13" s="386"/>
      <c r="I13" s="383"/>
      <c r="J13" s="1" t="e">
        <f>IF(G13&lt;&gt;0,"ACHTUNG: IMMER NULL!","(immer Null)")</f>
        <v>#VALUE!</v>
      </c>
      <c r="V13" s="484" t="str">
        <f>MID($J$4,4,1)</f>
        <v/>
      </c>
      <c r="W13" s="2">
        <v>0</v>
      </c>
      <c r="X13" s="2" t="s">
        <v>474</v>
      </c>
    </row>
    <row r="14" spans="1:24" s="1" customFormat="1" ht="15.75" customHeight="1" x14ac:dyDescent="0.25">
      <c r="A14" s="387"/>
      <c r="B14" s="389"/>
      <c r="C14" s="389"/>
      <c r="D14" s="389"/>
      <c r="E14" s="389"/>
      <c r="F14" s="389"/>
      <c r="G14" s="389"/>
      <c r="H14" s="386" t="e">
        <f>V28/100*100</f>
        <v>#VALUE!</v>
      </c>
      <c r="I14" s="383"/>
      <c r="J14" s="1" t="e">
        <f>IF(AND(H14&lt;&gt;1,H14&lt;&gt;5),"ACHTUNG: NUR 1 ODER 5!",VLOOKUP(H14,$W$28:$X$29,2))</f>
        <v>#VALUE!</v>
      </c>
      <c r="V14" s="484"/>
      <c r="W14" s="2">
        <v>1</v>
      </c>
      <c r="X14" s="2" t="s">
        <v>475</v>
      </c>
    </row>
    <row r="15" spans="1:24" s="1" customFormat="1" ht="15.75" customHeight="1" x14ac:dyDescent="0.25">
      <c r="V15" s="484" t="str">
        <f>MID($J$4,5,1)</f>
        <v/>
      </c>
      <c r="W15" s="2">
        <v>1</v>
      </c>
      <c r="X15" s="2" t="s">
        <v>164</v>
      </c>
    </row>
    <row r="16" spans="1:24" s="1" customFormat="1" ht="15.75" customHeight="1" thickBot="1" x14ac:dyDescent="0.3">
      <c r="V16" s="484"/>
      <c r="W16" s="2">
        <v>2</v>
      </c>
      <c r="X16" s="2" t="s">
        <v>165</v>
      </c>
    </row>
    <row r="17" spans="1:24" s="1" customFormat="1" ht="15.75" customHeight="1" thickBot="1" x14ac:dyDescent="0.3">
      <c r="A17" s="385"/>
      <c r="B17" s="385"/>
      <c r="C17" s="385"/>
      <c r="D17" s="385"/>
      <c r="F17" s="385"/>
      <c r="H17" s="397" t="s">
        <v>487</v>
      </c>
      <c r="J17" s="396"/>
      <c r="P17" s="399" t="s">
        <v>461</v>
      </c>
      <c r="R17" s="403" t="e">
        <f>CONCATENATE(VLOOKUP(V56,W56:X60,2),"??",E20,F21,0,"?")</f>
        <v>#VALUE!</v>
      </c>
      <c r="V17" s="484"/>
      <c r="W17" s="2">
        <v>3</v>
      </c>
      <c r="X17" s="2" t="s">
        <v>166</v>
      </c>
    </row>
    <row r="18" spans="1:24" ht="8.25" customHeight="1" x14ac:dyDescent="0.25">
      <c r="A18" s="393"/>
      <c r="B18" s="393"/>
      <c r="C18" s="393"/>
      <c r="D18" s="393"/>
      <c r="E18" s="393"/>
      <c r="F18" s="393"/>
      <c r="G18" s="393"/>
      <c r="H18" s="392"/>
      <c r="V18" s="484"/>
      <c r="W18" s="2">
        <v>4</v>
      </c>
      <c r="X18" s="2" t="s">
        <v>167</v>
      </c>
    </row>
    <row r="19" spans="1:24" ht="15.75" customHeight="1" x14ac:dyDescent="0.25">
      <c r="A19" s="382"/>
      <c r="B19" s="12"/>
      <c r="C19" s="12"/>
      <c r="D19" s="12"/>
      <c r="E19" s="12"/>
      <c r="F19" s="382"/>
      <c r="H19" s="1"/>
      <c r="J19" s="382" t="str">
        <f>IF(V3&lt;&gt;4,"4 STELLEN (INKL. _)","")</f>
        <v>4 STELLEN (INKL. _)</v>
      </c>
      <c r="V19" s="484"/>
      <c r="W19" s="2">
        <v>5</v>
      </c>
      <c r="X19" s="2" t="s">
        <v>168</v>
      </c>
    </row>
    <row r="20" spans="1:24" ht="15.75" customHeight="1" x14ac:dyDescent="0.25">
      <c r="A20" s="1"/>
      <c r="B20" s="394"/>
      <c r="C20" s="394"/>
      <c r="D20" s="394"/>
      <c r="E20" s="390" t="e">
        <f>V30/100*100</f>
        <v>#VALUE!</v>
      </c>
      <c r="F20" s="390"/>
      <c r="G20" s="390"/>
      <c r="H20" s="390"/>
      <c r="J20" s="1" t="e">
        <f>IF(AND(E20&lt;&gt;1,E20&lt;&gt;2,E20&lt;&gt;3,E20&lt;&gt;4,E20&lt;&gt;5),"ACHTUNG: NUR 1–5!",VLOOKUP(E20,W30:X34,2))</f>
        <v>#VALUE!</v>
      </c>
      <c r="V20" s="484"/>
      <c r="W20" s="2">
        <v>6</v>
      </c>
      <c r="X20" s="2" t="s">
        <v>525</v>
      </c>
    </row>
    <row r="21" spans="1:24" ht="15.75" customHeight="1" x14ac:dyDescent="0.25">
      <c r="A21" s="1"/>
      <c r="B21" s="394"/>
      <c r="C21" s="394"/>
      <c r="D21" s="394"/>
      <c r="E21" s="21"/>
      <c r="F21" s="390" t="e">
        <f>V39/100*100</f>
        <v>#VALUE!</v>
      </c>
      <c r="G21" s="390"/>
      <c r="H21" s="390"/>
      <c r="J21" s="1" t="e">
        <f>IF(AND(F21&lt;&gt;0,F21&lt;&gt;1,F21&lt;&gt;2),"ACHTUNG: NUR 0, 1 ODER 2!",VLOOKUP(F21,W39:X41,2))</f>
        <v>#VALUE!</v>
      </c>
      <c r="V21" s="484"/>
      <c r="W21" s="2">
        <v>7</v>
      </c>
      <c r="X21" s="2" t="s">
        <v>526</v>
      </c>
    </row>
    <row r="22" spans="1:24" ht="15.75" customHeight="1" x14ac:dyDescent="0.25">
      <c r="A22" s="1"/>
      <c r="B22" s="394"/>
      <c r="C22" s="394"/>
      <c r="D22" s="394"/>
      <c r="E22" s="21"/>
      <c r="F22" s="21"/>
      <c r="G22" s="390" t="e">
        <f>V42/100*100</f>
        <v>#VALUE!</v>
      </c>
      <c r="H22" s="390"/>
      <c r="J22" s="1" t="e">
        <f>IF(AND(G22&lt;&gt;1,G22&lt;&gt;2,G22&lt;&gt;5,G22&lt;&gt;6,G22&lt;&gt;7),"ACHTUNG: NUR 1, 2, 5, 6 ODER 7!",VLOOKUP(G22,W42:X46,2))</f>
        <v>#VALUE!</v>
      </c>
      <c r="V22" s="484"/>
      <c r="W22" s="2">
        <v>8</v>
      </c>
      <c r="X22" s="2" t="s">
        <v>527</v>
      </c>
    </row>
    <row r="23" spans="1:24" ht="15.75" customHeight="1" x14ac:dyDescent="0.25">
      <c r="A23" s="1"/>
      <c r="B23" s="394"/>
      <c r="C23" s="395"/>
      <c r="D23" s="395"/>
      <c r="E23" s="21"/>
      <c r="F23" s="67"/>
      <c r="G23" s="67"/>
      <c r="H23" s="400" t="str">
        <f>V47</f>
        <v/>
      </c>
      <c r="J23" s="1" t="str">
        <f>IF(H23&lt;&gt;"_","ACHTUNG: IMMER _!","(immer _)")</f>
        <v>ACHTUNG: IMMER _!</v>
      </c>
      <c r="V23" s="484"/>
      <c r="W23" s="2">
        <v>9</v>
      </c>
      <c r="X23" s="2" t="s">
        <v>528</v>
      </c>
    </row>
    <row r="24" spans="1:24" ht="15.75" customHeight="1" x14ac:dyDescent="0.25">
      <c r="V24" s="482" t="str">
        <f>MID($J$4,6,1)</f>
        <v/>
      </c>
      <c r="W24" s="483">
        <v>0</v>
      </c>
      <c r="X24" s="483" t="s">
        <v>488</v>
      </c>
    </row>
    <row r="25" spans="1:24" ht="15.75" customHeight="1" thickBot="1" x14ac:dyDescent="0.3">
      <c r="W25" s="483">
        <v>1</v>
      </c>
      <c r="X25" s="483" t="s">
        <v>170</v>
      </c>
    </row>
    <row r="26" spans="1:24" ht="15.75" customHeight="1" thickBot="1" x14ac:dyDescent="0.3">
      <c r="H26" s="481" t="s">
        <v>234</v>
      </c>
      <c r="J26" s="489">
        <f>Beiträge!D21</f>
        <v>0</v>
      </c>
      <c r="W26" s="483">
        <v>2</v>
      </c>
      <c r="X26" s="483" t="s">
        <v>171</v>
      </c>
    </row>
    <row r="27" spans="1:24" ht="15.75" customHeight="1" x14ac:dyDescent="0.25">
      <c r="A27" s="734"/>
      <c r="B27" s="734"/>
      <c r="C27" s="734"/>
      <c r="D27" s="734"/>
      <c r="E27" s="734"/>
      <c r="F27" s="734"/>
      <c r="G27" s="734"/>
      <c r="H27" s="734"/>
      <c r="I27" s="734"/>
      <c r="J27" s="734"/>
      <c r="V27" s="482" t="str">
        <f>MID($J$4,7,1)</f>
        <v/>
      </c>
      <c r="W27" s="483">
        <v>0</v>
      </c>
      <c r="X27" s="483" t="s">
        <v>476</v>
      </c>
    </row>
    <row r="28" spans="1:24" ht="15" customHeight="1" x14ac:dyDescent="0.25">
      <c r="A28" s="490">
        <f>V62</f>
        <v>0</v>
      </c>
      <c r="B28" s="491"/>
      <c r="C28" s="491"/>
      <c r="D28" s="491"/>
      <c r="E28" s="491"/>
      <c r="F28" s="491"/>
      <c r="G28" s="491"/>
      <c r="H28" s="491"/>
      <c r="J28" t="e">
        <f>VLOOKUP(V62,W62:X66,2)</f>
        <v>#N/A</v>
      </c>
      <c r="V28" s="482" t="str">
        <f>MID($J$4,8,1)</f>
        <v/>
      </c>
      <c r="W28" s="483">
        <v>1</v>
      </c>
      <c r="X28" s="483" t="s">
        <v>478</v>
      </c>
    </row>
    <row r="29" spans="1:24" ht="15" customHeight="1" thickBot="1" x14ac:dyDescent="0.3">
      <c r="B29" s="492" t="e">
        <f>V68</f>
        <v>#VALUE!</v>
      </c>
      <c r="C29" s="493"/>
      <c r="D29" s="493"/>
      <c r="E29" s="493"/>
      <c r="F29" s="493"/>
      <c r="G29" s="493"/>
      <c r="H29" s="493"/>
      <c r="J29" t="e">
        <f>VLOOKUP(V68,W68:X71,2)</f>
        <v>#VALUE!</v>
      </c>
      <c r="V29" s="485"/>
      <c r="W29" s="486">
        <v>5</v>
      </c>
      <c r="X29" s="486" t="s">
        <v>477</v>
      </c>
    </row>
    <row r="30" spans="1:24" ht="15" customHeight="1" x14ac:dyDescent="0.25">
      <c r="C30" s="492" t="e">
        <f>V73</f>
        <v>#VALUE!</v>
      </c>
      <c r="D30" s="493"/>
      <c r="E30" s="493"/>
      <c r="F30" s="493"/>
      <c r="G30" s="493"/>
      <c r="H30" s="493"/>
      <c r="J30" t="e">
        <f>VLOOKUP(V73,W73:X79,2)</f>
        <v>#VALUE!</v>
      </c>
      <c r="V30" s="484" t="str">
        <f>MID($J$17,1,1)</f>
        <v/>
      </c>
      <c r="W30" s="2">
        <v>1</v>
      </c>
      <c r="X30" s="2" t="s">
        <v>164</v>
      </c>
    </row>
    <row r="31" spans="1:24" ht="15" customHeight="1" x14ac:dyDescent="0.25">
      <c r="V31" s="484"/>
      <c r="W31" s="2">
        <v>2</v>
      </c>
      <c r="X31" s="2" t="s">
        <v>165</v>
      </c>
    </row>
    <row r="32" spans="1:24" ht="15" customHeight="1" x14ac:dyDescent="0.25">
      <c r="V32" s="484"/>
      <c r="W32" s="2">
        <v>3</v>
      </c>
      <c r="X32" s="2" t="s">
        <v>166</v>
      </c>
    </row>
    <row r="33" spans="22:24" ht="15" customHeight="1" x14ac:dyDescent="0.25">
      <c r="V33" s="484"/>
      <c r="W33" s="2">
        <v>4</v>
      </c>
      <c r="X33" s="2" t="s">
        <v>167</v>
      </c>
    </row>
    <row r="34" spans="22:24" ht="15" customHeight="1" x14ac:dyDescent="0.25">
      <c r="V34" s="484"/>
      <c r="W34" s="2">
        <v>5</v>
      </c>
      <c r="X34" s="2" t="s">
        <v>168</v>
      </c>
    </row>
    <row r="35" spans="22:24" ht="15" customHeight="1" x14ac:dyDescent="0.25">
      <c r="V35" s="484"/>
      <c r="W35" s="2">
        <v>6</v>
      </c>
      <c r="X35" s="2" t="s">
        <v>525</v>
      </c>
    </row>
    <row r="36" spans="22:24" ht="15" customHeight="1" x14ac:dyDescent="0.25">
      <c r="V36" s="484"/>
      <c r="W36" s="2">
        <v>7</v>
      </c>
      <c r="X36" s="2" t="s">
        <v>526</v>
      </c>
    </row>
    <row r="37" spans="22:24" ht="15" customHeight="1" x14ac:dyDescent="0.25">
      <c r="V37" s="484"/>
      <c r="W37" s="2">
        <v>8</v>
      </c>
      <c r="X37" s="2" t="s">
        <v>527</v>
      </c>
    </row>
    <row r="38" spans="22:24" ht="15" customHeight="1" x14ac:dyDescent="0.25">
      <c r="V38" s="484"/>
      <c r="W38" s="2">
        <v>9</v>
      </c>
      <c r="X38" s="2" t="s">
        <v>528</v>
      </c>
    </row>
    <row r="39" spans="22:24" ht="15" customHeight="1" x14ac:dyDescent="0.25">
      <c r="V39" s="482" t="str">
        <f>MID($J$17,2,1)</f>
        <v/>
      </c>
      <c r="W39" s="483">
        <v>0</v>
      </c>
      <c r="X39" s="483" t="s">
        <v>488</v>
      </c>
    </row>
    <row r="40" spans="22:24" ht="15" customHeight="1" x14ac:dyDescent="0.25">
      <c r="W40" s="483">
        <v>1</v>
      </c>
      <c r="X40" s="483" t="s">
        <v>170</v>
      </c>
    </row>
    <row r="41" spans="22:24" ht="15" customHeight="1" x14ac:dyDescent="0.25">
      <c r="W41" s="483">
        <v>2</v>
      </c>
      <c r="X41" s="483" t="s">
        <v>171</v>
      </c>
    </row>
    <row r="42" spans="22:24" ht="15" customHeight="1" x14ac:dyDescent="0.25">
      <c r="V42" s="482" t="str">
        <f>MID($J$17,3,1)</f>
        <v/>
      </c>
      <c r="W42" s="483">
        <v>1</v>
      </c>
      <c r="X42" s="487" t="s">
        <v>480</v>
      </c>
    </row>
    <row r="43" spans="22:24" ht="15" customHeight="1" x14ac:dyDescent="0.25">
      <c r="W43" s="483">
        <v>2</v>
      </c>
      <c r="X43" s="487" t="s">
        <v>481</v>
      </c>
    </row>
    <row r="44" spans="22:24" ht="15" customHeight="1" x14ac:dyDescent="0.25">
      <c r="W44" s="483">
        <v>5</v>
      </c>
      <c r="X44" s="487" t="s">
        <v>482</v>
      </c>
    </row>
    <row r="45" spans="22:24" ht="15" customHeight="1" x14ac:dyDescent="0.25">
      <c r="W45" s="483">
        <v>6</v>
      </c>
      <c r="X45" s="487" t="s">
        <v>483</v>
      </c>
    </row>
    <row r="46" spans="22:24" ht="15" customHeight="1" x14ac:dyDescent="0.25">
      <c r="W46" s="483">
        <v>7</v>
      </c>
      <c r="X46" s="483" t="s">
        <v>365</v>
      </c>
    </row>
    <row r="47" spans="22:24" ht="15" customHeight="1" x14ac:dyDescent="0.25">
      <c r="V47" s="482" t="str">
        <f>MID($J$17,4,1)</f>
        <v/>
      </c>
      <c r="X47" s="483" t="s">
        <v>479</v>
      </c>
    </row>
    <row r="48" spans="22:24" ht="15" customHeight="1" x14ac:dyDescent="0.25"/>
    <row r="49" spans="22:24" ht="15" customHeight="1" x14ac:dyDescent="0.25">
      <c r="V49" s="482" t="str">
        <f>LEFT(J4,2)</f>
        <v>0</v>
      </c>
    </row>
    <row r="50" spans="22:24" ht="15" customHeight="1" x14ac:dyDescent="0.25">
      <c r="V50" s="482">
        <f>V49/100*100</f>
        <v>0</v>
      </c>
      <c r="W50" s="483">
        <v>11</v>
      </c>
      <c r="X50" s="488">
        <v>5</v>
      </c>
    </row>
    <row r="51" spans="22:24" ht="15" customHeight="1" x14ac:dyDescent="0.25">
      <c r="W51" s="483">
        <v>12</v>
      </c>
      <c r="X51" s="488">
        <v>6</v>
      </c>
    </row>
    <row r="52" spans="22:24" ht="15" customHeight="1" x14ac:dyDescent="0.25">
      <c r="W52" s="483">
        <v>13</v>
      </c>
      <c r="X52" s="488">
        <v>7</v>
      </c>
    </row>
    <row r="53" spans="22:24" ht="15" customHeight="1" x14ac:dyDescent="0.25">
      <c r="W53" s="483">
        <v>21</v>
      </c>
      <c r="X53" s="488">
        <v>1</v>
      </c>
    </row>
    <row r="54" spans="22:24" ht="15" customHeight="1" x14ac:dyDescent="0.25">
      <c r="W54" s="483">
        <v>22</v>
      </c>
      <c r="X54" s="488">
        <v>2</v>
      </c>
    </row>
    <row r="55" spans="22:24" ht="15" customHeight="1" x14ac:dyDescent="0.25">
      <c r="V55" s="482" t="str">
        <f>MID(J17,3,1)</f>
        <v/>
      </c>
    </row>
    <row r="56" spans="22:24" ht="15" customHeight="1" x14ac:dyDescent="0.25">
      <c r="V56" s="482" t="e">
        <f>V55/100*100</f>
        <v>#VALUE!</v>
      </c>
      <c r="W56" s="483">
        <v>1</v>
      </c>
      <c r="X56" s="488">
        <v>21</v>
      </c>
    </row>
    <row r="57" spans="22:24" ht="15" customHeight="1" x14ac:dyDescent="0.25">
      <c r="W57" s="483">
        <v>2</v>
      </c>
      <c r="X57" s="488">
        <v>22</v>
      </c>
    </row>
    <row r="58" spans="22:24" ht="15" customHeight="1" x14ac:dyDescent="0.25">
      <c r="W58" s="483">
        <v>5</v>
      </c>
      <c r="X58" s="488">
        <v>11</v>
      </c>
    </row>
    <row r="59" spans="22:24" ht="15" customHeight="1" x14ac:dyDescent="0.25">
      <c r="W59" s="483">
        <v>6</v>
      </c>
      <c r="X59" s="488">
        <v>12</v>
      </c>
    </row>
    <row r="60" spans="22:24" ht="15" customHeight="1" x14ac:dyDescent="0.25">
      <c r="W60" s="483">
        <v>7</v>
      </c>
      <c r="X60" s="488">
        <v>13</v>
      </c>
    </row>
    <row r="61" spans="22:24" ht="15" customHeight="1" x14ac:dyDescent="0.25">
      <c r="V61" s="482" t="str">
        <f>LEFT(J26,1)</f>
        <v>0</v>
      </c>
    </row>
    <row r="62" spans="22:24" ht="15" customHeight="1" x14ac:dyDescent="0.25">
      <c r="V62" s="482">
        <f>V61/100*100</f>
        <v>0</v>
      </c>
      <c r="W62" s="483">
        <v>1</v>
      </c>
      <c r="X62" s="488" t="s">
        <v>162</v>
      </c>
    </row>
    <row r="63" spans="22:24" ht="15" customHeight="1" x14ac:dyDescent="0.25">
      <c r="W63" s="483">
        <v>2</v>
      </c>
      <c r="X63" s="488" t="s">
        <v>163</v>
      </c>
    </row>
    <row r="64" spans="22:24" ht="15" customHeight="1" x14ac:dyDescent="0.25">
      <c r="W64" s="483">
        <v>3</v>
      </c>
      <c r="X64" s="488" t="s">
        <v>161</v>
      </c>
    </row>
    <row r="65" spans="22:24" ht="15" customHeight="1" x14ac:dyDescent="0.25">
      <c r="W65" s="483">
        <v>4</v>
      </c>
      <c r="X65" s="488" t="s">
        <v>160</v>
      </c>
    </row>
    <row r="66" spans="22:24" ht="15" customHeight="1" x14ac:dyDescent="0.25">
      <c r="W66" s="483">
        <v>5</v>
      </c>
      <c r="X66" s="488" t="s">
        <v>281</v>
      </c>
    </row>
    <row r="67" spans="22:24" ht="15" customHeight="1" x14ac:dyDescent="0.25">
      <c r="V67" s="494" t="str">
        <f>MID(J26,2,1)</f>
        <v/>
      </c>
    </row>
    <row r="68" spans="22:24" ht="15" customHeight="1" x14ac:dyDescent="0.25">
      <c r="V68" s="482" t="e">
        <f>V67/100*100</f>
        <v>#VALUE!</v>
      </c>
      <c r="W68" s="483">
        <v>1</v>
      </c>
      <c r="X68" s="488" t="s">
        <v>235</v>
      </c>
    </row>
    <row r="69" spans="22:24" ht="15" customHeight="1" x14ac:dyDescent="0.25">
      <c r="W69" s="483">
        <v>2</v>
      </c>
      <c r="X69" s="488" t="s">
        <v>446</v>
      </c>
    </row>
    <row r="70" spans="22:24" ht="15" customHeight="1" x14ac:dyDescent="0.25">
      <c r="W70" s="483">
        <v>3</v>
      </c>
      <c r="X70" s="488" t="s">
        <v>546</v>
      </c>
    </row>
    <row r="71" spans="22:24" ht="15" customHeight="1" x14ac:dyDescent="0.25">
      <c r="W71" s="483">
        <v>5</v>
      </c>
      <c r="X71" s="488" t="s">
        <v>236</v>
      </c>
    </row>
    <row r="72" spans="22:24" ht="15" customHeight="1" x14ac:dyDescent="0.25">
      <c r="V72" s="494" t="str">
        <f>MID(J26,3,1)</f>
        <v/>
      </c>
    </row>
    <row r="73" spans="22:24" ht="15" customHeight="1" x14ac:dyDescent="0.25">
      <c r="V73" s="482" t="e">
        <f>V72/100*100</f>
        <v>#VALUE!</v>
      </c>
      <c r="W73" s="483">
        <v>1</v>
      </c>
      <c r="X73" s="488" t="s">
        <v>237</v>
      </c>
    </row>
    <row r="74" spans="22:24" ht="15" customHeight="1" x14ac:dyDescent="0.25">
      <c r="W74" s="483">
        <v>2</v>
      </c>
      <c r="X74" s="488" t="s">
        <v>238</v>
      </c>
    </row>
    <row r="75" spans="22:24" ht="15" customHeight="1" x14ac:dyDescent="0.25">
      <c r="W75" s="483">
        <v>3</v>
      </c>
      <c r="X75" s="488" t="s">
        <v>211</v>
      </c>
    </row>
    <row r="76" spans="22:24" ht="15" customHeight="1" x14ac:dyDescent="0.25">
      <c r="W76" s="483">
        <v>4</v>
      </c>
      <c r="X76" s="483" t="s">
        <v>547</v>
      </c>
    </row>
    <row r="77" spans="22:24" ht="15" customHeight="1" x14ac:dyDescent="0.25">
      <c r="W77" s="483">
        <v>5</v>
      </c>
      <c r="X77" s="483" t="s">
        <v>548</v>
      </c>
    </row>
    <row r="78" spans="22:24" ht="15" customHeight="1" x14ac:dyDescent="0.25"/>
    <row r="79" spans="22:24" ht="15" customHeight="1" x14ac:dyDescent="0.25"/>
    <row r="80" spans="22:24"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sheetProtection algorithmName="SHA-512" hashValue="P08lQMl6qHauAmintUrydcPTWP/HZ654oCNLB9NfXrgYPWDmUPxwRWj8EqmoSKYeBRIoggYPCVlqfiQwO5KqmQ==" saltValue="3+SrTFgjfy6CfKzVaR/KVw==" spinCount="100000" sheet="1" objects="1" scenarios="1" selectLockedCells="1"/>
  <mergeCells count="1">
    <mergeCell ref="A27:J27"/>
  </mergeCells>
  <phoneticPr fontId="2" type="noConversion"/>
  <conditionalFormatting sqref="A7:J14">
    <cfRule type="expression" dxfId="3" priority="1" stopIfTrue="1">
      <formula>$V$2&lt;&gt;8</formula>
    </cfRule>
  </conditionalFormatting>
  <conditionalFormatting sqref="B20:H23 J20:J23">
    <cfRule type="expression" dxfId="2" priority="2" stopIfTrue="1">
      <formula>$V$3&lt;&gt;4</formula>
    </cfRule>
  </conditionalFormatting>
  <conditionalFormatting sqref="L4:S11">
    <cfRule type="expression" dxfId="1" priority="3" stopIfTrue="1">
      <formula>$J$6&lt;&gt;""</formula>
    </cfRule>
  </conditionalFormatting>
  <conditionalFormatting sqref="L17:S17">
    <cfRule type="expression" dxfId="0" priority="4" stopIfTrue="1">
      <formula>$J$19&lt;&gt;""</formula>
    </cfRule>
  </conditionalFormatting>
  <pageMargins left="0.78740157480314965" right="0.39370078740157483" top="0.39370078740157483" bottom="0.39370078740157483" header="0.51181102362204722" footer="0.51181102362204722"/>
  <pageSetup paperSize="9" orientation="portrait" r:id="rId1"/>
  <headerFooter alignWithMargins="0"/>
  <customProperties>
    <customPr name="SSCSheetTrackingNo" r:id="rId2"/>
  </customProperties>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tabColor indexed="10"/>
  </sheetPr>
  <dimension ref="A1:AE1735"/>
  <sheetViews>
    <sheetView topLeftCell="A8" workbookViewId="0">
      <selection activeCell="P38" sqref="P38"/>
    </sheetView>
  </sheetViews>
  <sheetFormatPr baseColWidth="10" defaultColWidth="12.5546875" defaultRowHeight="13.2" x14ac:dyDescent="0.2"/>
  <cols>
    <col min="1" max="1" width="47.88671875" style="259" customWidth="1"/>
    <col min="2" max="2" width="3.109375" style="259" bestFit="1" customWidth="1"/>
    <col min="3" max="3" width="7.33203125" style="254" customWidth="1"/>
    <col min="4" max="4" width="7.33203125" style="440" customWidth="1"/>
    <col min="5" max="5" width="14.88671875" style="254" customWidth="1"/>
    <col min="6" max="6" width="6.33203125" style="254" customWidth="1"/>
    <col min="7" max="7" width="6.77734375" style="254" customWidth="1"/>
    <col min="8" max="8" width="5.109375" style="254" customWidth="1"/>
    <col min="9" max="9" width="6.88671875" style="254" customWidth="1"/>
    <col min="10" max="10" width="5.109375" style="254" customWidth="1"/>
    <col min="11" max="11" width="5" style="254" customWidth="1"/>
    <col min="12" max="13" width="4" style="254" bestFit="1" customWidth="1"/>
    <col min="14" max="16" width="4" style="254" customWidth="1"/>
    <col min="17" max="17" width="5.33203125" style="254" customWidth="1"/>
    <col min="18" max="23" width="12.5546875" style="254"/>
    <col min="24" max="26" width="13" style="461" customWidth="1"/>
    <col min="27" max="27" width="12.5546875" style="456"/>
    <col min="28" max="28" width="16.5546875" style="454" customWidth="1"/>
    <col min="29" max="29" width="9.88671875" style="454" customWidth="1"/>
    <col min="30" max="30" width="12.5546875" style="454"/>
    <col min="31" max="16384" width="12.5546875" style="254"/>
  </cols>
  <sheetData>
    <row r="1" spans="1:31" x14ac:dyDescent="0.2">
      <c r="S1" s="249" t="s">
        <v>386</v>
      </c>
      <c r="U1" s="249" t="s">
        <v>103</v>
      </c>
      <c r="V1" s="249" t="s">
        <v>415</v>
      </c>
      <c r="W1" s="249" t="s">
        <v>264</v>
      </c>
      <c r="X1" s="464" t="s">
        <v>448</v>
      </c>
      <c r="Y1" s="464" t="s">
        <v>449</v>
      </c>
      <c r="Z1" s="464" t="s">
        <v>450</v>
      </c>
      <c r="AA1" s="453" t="s">
        <v>415</v>
      </c>
      <c r="AB1" s="454" t="s">
        <v>451</v>
      </c>
      <c r="AC1" s="454" t="e">
        <f>V11</f>
        <v>#VALUE!</v>
      </c>
      <c r="AD1" s="455" t="e">
        <f>AC1*1</f>
        <v>#VALUE!</v>
      </c>
      <c r="AE1" s="254" t="s">
        <v>634</v>
      </c>
    </row>
    <row r="2" spans="1:31" s="249" customFormat="1" x14ac:dyDescent="0.25">
      <c r="A2" s="247" t="s">
        <v>102</v>
      </c>
      <c r="B2" s="627">
        <f>Input!K9</f>
        <v>0</v>
      </c>
      <c r="C2" s="619" t="e">
        <f>IF(B2=5,553,B2*100+B9*10+C34)</f>
        <v>#VALUE!</v>
      </c>
      <c r="D2" s="653"/>
      <c r="E2" s="247" t="s">
        <v>347</v>
      </c>
      <c r="F2" s="250"/>
      <c r="G2" s="250"/>
      <c r="H2" s="250"/>
      <c r="I2" s="250"/>
      <c r="J2" s="251"/>
      <c r="K2" s="251"/>
      <c r="L2" s="251"/>
      <c r="M2" s="251"/>
      <c r="N2" s="251"/>
      <c r="S2" s="278" t="s">
        <v>387</v>
      </c>
      <c r="T2" s="278" t="s">
        <v>388</v>
      </c>
      <c r="U2" s="254" t="str">
        <f>IF(B28=3,"AHV/",IF(B43=2,"360/","720/"))</f>
        <v>AHV/</v>
      </c>
      <c r="V2" s="440">
        <f>IF(B43=2,1,2)</f>
        <v>1</v>
      </c>
      <c r="W2" s="254" t="e">
        <f>V6</f>
        <v>#VALUE!</v>
      </c>
      <c r="X2" s="465">
        <v>11001001</v>
      </c>
      <c r="Y2" s="465">
        <v>11011001</v>
      </c>
      <c r="Z2" s="465">
        <v>11021001</v>
      </c>
      <c r="AA2" s="648">
        <v>11001001</v>
      </c>
      <c r="AB2" s="457" t="s">
        <v>452</v>
      </c>
      <c r="AC2" s="457" t="e">
        <f>W17</f>
        <v>#VALUE!</v>
      </c>
      <c r="AD2" s="458" t="e">
        <f>AC2*1</f>
        <v>#VALUE!</v>
      </c>
      <c r="AE2" s="254">
        <v>1010</v>
      </c>
    </row>
    <row r="3" spans="1:31" x14ac:dyDescent="0.2">
      <c r="A3" s="252" t="s">
        <v>348</v>
      </c>
      <c r="B3" s="253">
        <v>1</v>
      </c>
      <c r="E3" s="255"/>
      <c r="F3" s="255">
        <v>1</v>
      </c>
      <c r="G3" s="255">
        <v>2</v>
      </c>
      <c r="H3" s="255">
        <v>3</v>
      </c>
      <c r="I3" s="255">
        <v>4</v>
      </c>
      <c r="J3" s="255">
        <v>5</v>
      </c>
      <c r="K3" s="255">
        <v>6</v>
      </c>
      <c r="L3" s="255">
        <v>7</v>
      </c>
      <c r="M3" s="255">
        <v>8</v>
      </c>
      <c r="N3" s="255">
        <v>9</v>
      </c>
      <c r="S3" s="249" t="s">
        <v>12</v>
      </c>
      <c r="U3" s="254" t="str">
        <f>IF(B28=1,"R1/",IF(B28=2,"R2/",""))</f>
        <v/>
      </c>
      <c r="V3" s="440">
        <f>IF(B28=1,1,IF(B28=2,2,3))</f>
        <v>3</v>
      </c>
      <c r="W3" s="254" t="e">
        <f>V8</f>
        <v>#VALUE!</v>
      </c>
      <c r="X3" s="465">
        <v>11001005</v>
      </c>
      <c r="Y3" s="465">
        <v>11011005</v>
      </c>
      <c r="Z3" s="465">
        <v>11021005</v>
      </c>
      <c r="AA3" s="648">
        <v>11001005</v>
      </c>
      <c r="AB3" s="457" t="s">
        <v>453</v>
      </c>
      <c r="AC3" s="454">
        <f>COUNTIF(X2:X25,AD1)</f>
        <v>0</v>
      </c>
      <c r="AE3" s="254">
        <v>1011</v>
      </c>
    </row>
    <row r="4" spans="1:31" x14ac:dyDescent="0.2">
      <c r="A4" s="252" t="s">
        <v>349</v>
      </c>
      <c r="B4" s="253">
        <v>2</v>
      </c>
      <c r="E4" s="256" t="s">
        <v>33</v>
      </c>
      <c r="F4" s="256">
        <v>7</v>
      </c>
      <c r="G4" s="256">
        <v>11</v>
      </c>
      <c r="H4" s="256">
        <v>16.5</v>
      </c>
      <c r="I4" s="256">
        <v>20</v>
      </c>
      <c r="J4" s="256">
        <v>21</v>
      </c>
      <c r="K4" s="256">
        <v>8</v>
      </c>
      <c r="L4" s="256">
        <v>9</v>
      </c>
      <c r="M4" s="256">
        <v>5</v>
      </c>
      <c r="N4" s="256">
        <v>6</v>
      </c>
      <c r="S4" s="254">
        <v>1</v>
      </c>
      <c r="T4" s="254">
        <v>3</v>
      </c>
      <c r="U4" s="440" t="e">
        <f>IF(U2="AHV","",IF(B47=1,"TK0/",IF(B47=6,"TK2/","TK1/")))</f>
        <v>#VALUE!</v>
      </c>
      <c r="V4" s="440" t="e">
        <f>IF(B47=1,0,IF(B47=6,2,1))</f>
        <v>#VALUE!</v>
      </c>
      <c r="W4" s="254">
        <f>IF(AND(B28=1,B43=2),5,IF(AND(B28=1,B43=1),1,IF(AND(B28=2,B43=2),6,IF(AND(B28=2,B43=1),2,7))))</f>
        <v>7</v>
      </c>
      <c r="X4" s="466">
        <v>11101001</v>
      </c>
      <c r="Y4" s="466">
        <v>11111001</v>
      </c>
      <c r="Z4" s="466"/>
      <c r="AA4" s="648">
        <v>11001101</v>
      </c>
      <c r="AB4" s="457" t="s">
        <v>454</v>
      </c>
      <c r="AC4" s="454" t="e">
        <f>IF(AC3=0,AD1,VLOOKUP(AD1,X2:Y25,2))</f>
        <v>#VALUE!</v>
      </c>
      <c r="AD4" s="455" t="e">
        <f>AC4*1</f>
        <v>#VALUE!</v>
      </c>
      <c r="AE4" s="254">
        <v>1012</v>
      </c>
    </row>
    <row r="5" spans="1:31" x14ac:dyDescent="0.2">
      <c r="A5" s="252" t="s">
        <v>350</v>
      </c>
      <c r="B5" s="253">
        <v>3</v>
      </c>
      <c r="E5" s="256" t="s">
        <v>34</v>
      </c>
      <c r="F5" s="256">
        <v>10</v>
      </c>
      <c r="G5" s="256">
        <v>12</v>
      </c>
      <c r="H5" s="256">
        <v>16.5</v>
      </c>
      <c r="I5" s="256">
        <v>20</v>
      </c>
      <c r="J5" s="256">
        <v>22</v>
      </c>
      <c r="K5" s="256">
        <v>11</v>
      </c>
      <c r="L5" s="256">
        <v>12</v>
      </c>
      <c r="M5" s="256">
        <v>7</v>
      </c>
      <c r="N5" s="256">
        <v>8</v>
      </c>
      <c r="S5" s="254">
        <v>2</v>
      </c>
      <c r="T5" s="254">
        <v>1</v>
      </c>
      <c r="U5" s="254" t="e">
        <f>IF(U2="AHV","",IF(B65=1,"Bb_BVG/","Bb_Plan/"))</f>
        <v>#VALUE!</v>
      </c>
      <c r="V5" s="440" t="e">
        <f>IF(B65=1,0,1)</f>
        <v>#VALUE!</v>
      </c>
      <c r="W5" s="254" t="s">
        <v>265</v>
      </c>
      <c r="X5" s="466">
        <v>11101005</v>
      </c>
      <c r="Y5" s="466">
        <v>11111005</v>
      </c>
      <c r="Z5" s="466"/>
      <c r="AA5" s="648">
        <v>11001105</v>
      </c>
      <c r="AB5" s="457" t="s">
        <v>455</v>
      </c>
      <c r="AC5" s="454" t="e">
        <f>IF(AD2&lt;&gt;111,1,0)</f>
        <v>#VALUE!</v>
      </c>
      <c r="AE5" s="254">
        <v>1013</v>
      </c>
    </row>
    <row r="6" spans="1:31" x14ac:dyDescent="0.2">
      <c r="A6" s="252" t="s">
        <v>351</v>
      </c>
      <c r="B6" s="253">
        <v>4</v>
      </c>
      <c r="E6" s="256" t="s">
        <v>35</v>
      </c>
      <c r="F6" s="256">
        <v>15</v>
      </c>
      <c r="G6" s="256">
        <v>15</v>
      </c>
      <c r="H6" s="256">
        <v>16.5</v>
      </c>
      <c r="I6" s="256">
        <v>20</v>
      </c>
      <c r="J6" s="256">
        <v>23</v>
      </c>
      <c r="K6" s="256">
        <v>16</v>
      </c>
      <c r="L6" s="256">
        <v>17</v>
      </c>
      <c r="M6" s="256">
        <v>10</v>
      </c>
      <c r="N6" s="256">
        <v>11</v>
      </c>
      <c r="S6" s="254">
        <v>3</v>
      </c>
      <c r="T6" s="254">
        <v>2</v>
      </c>
      <c r="U6" s="254" t="e">
        <f>IF(U2="AHV","",CONCATENATE(VLOOKUP(Input!K24,Input!L24:S28,8),"/"))</f>
        <v>#VALUE!</v>
      </c>
      <c r="V6" s="440" t="e">
        <f>B9</f>
        <v>#VALUE!</v>
      </c>
      <c r="X6" s="466">
        <v>11201001</v>
      </c>
      <c r="Y6" s="466">
        <v>11211001</v>
      </c>
      <c r="Z6" s="466"/>
      <c r="AA6" s="648">
        <v>11001201</v>
      </c>
      <c r="AB6" s="457" t="s">
        <v>456</v>
      </c>
      <c r="AC6" s="454">
        <f>COUNTIF(Y27:Y30,AD1)</f>
        <v>0</v>
      </c>
      <c r="AD6" s="454" t="e">
        <f>IF(AND(AC5=1,AC6=1),AD4,0)</f>
        <v>#VALUE!</v>
      </c>
      <c r="AE6" s="254">
        <v>1014</v>
      </c>
    </row>
    <row r="7" spans="1:31" x14ac:dyDescent="0.2">
      <c r="A7" s="257" t="s">
        <v>2</v>
      </c>
      <c r="B7" s="258">
        <v>5</v>
      </c>
      <c r="E7" s="256" t="s">
        <v>352</v>
      </c>
      <c r="F7" s="256">
        <v>18</v>
      </c>
      <c r="G7" s="256">
        <v>18</v>
      </c>
      <c r="H7" s="256">
        <v>18</v>
      </c>
      <c r="I7" s="256">
        <v>20</v>
      </c>
      <c r="J7" s="256">
        <v>25</v>
      </c>
      <c r="K7" s="256">
        <v>19</v>
      </c>
      <c r="L7" s="256">
        <v>20</v>
      </c>
      <c r="M7" s="256">
        <v>12</v>
      </c>
      <c r="N7" s="256">
        <v>13</v>
      </c>
      <c r="U7" s="254" t="e">
        <f>CONCATENATE(Input!K41,"/")</f>
        <v>#VALUE!</v>
      </c>
      <c r="V7" s="440"/>
      <c r="X7" s="466">
        <v>11201005</v>
      </c>
      <c r="Y7" s="466">
        <v>11211005</v>
      </c>
      <c r="Z7" s="466"/>
      <c r="AA7" s="648">
        <v>11001205</v>
      </c>
      <c r="AB7" s="457" t="s">
        <v>457</v>
      </c>
      <c r="AC7" s="454">
        <f>COUNTIF(Y27:Y30,AD4)</f>
        <v>0</v>
      </c>
      <c r="AD7" s="454" t="e">
        <f>IF(AND(AC5=1,AC7=1),VLOOKUP(AD4,Y27:Z30,2),0)</f>
        <v>#VALUE!</v>
      </c>
      <c r="AE7" s="254">
        <v>1015</v>
      </c>
    </row>
    <row r="8" spans="1:31" s="249" customFormat="1" x14ac:dyDescent="0.2">
      <c r="A8" s="259"/>
      <c r="B8" s="259"/>
      <c r="D8" s="625"/>
      <c r="E8" s="256" t="s">
        <v>354</v>
      </c>
      <c r="F8" s="256">
        <v>18</v>
      </c>
      <c r="G8" s="256">
        <v>18</v>
      </c>
      <c r="H8" s="256">
        <v>18</v>
      </c>
      <c r="I8" s="256">
        <v>20</v>
      </c>
      <c r="J8" s="256">
        <v>25</v>
      </c>
      <c r="K8" s="256">
        <v>19</v>
      </c>
      <c r="L8" s="256">
        <v>20</v>
      </c>
      <c r="M8" s="256">
        <v>12</v>
      </c>
      <c r="N8" s="256">
        <v>13</v>
      </c>
      <c r="S8" s="249" t="s">
        <v>24</v>
      </c>
      <c r="U8" s="254" t="e">
        <f>IF(Input!K36=1,"ZS0",IF(Input!K36=2,"ZS1","ZS2"))</f>
        <v>#VALUE!</v>
      </c>
      <c r="V8" s="440" t="e">
        <f>IF(B23=3,0,IF(B23=1,1,2))</f>
        <v>#VALUE!</v>
      </c>
      <c r="W8" s="254"/>
      <c r="X8" s="466">
        <v>12001001</v>
      </c>
      <c r="Y8" s="466">
        <v>12011001</v>
      </c>
      <c r="Z8" s="466"/>
      <c r="AA8" s="648">
        <v>11002001</v>
      </c>
      <c r="AB8" s="459" t="e">
        <f>IF(AD7&lt;&gt;0,AD7,IF(AD6&lt;&gt;0,AD6,AD4))</f>
        <v>#VALUE!</v>
      </c>
      <c r="AC8" s="454"/>
      <c r="AD8" s="454"/>
      <c r="AE8" s="254">
        <v>1016</v>
      </c>
    </row>
    <row r="9" spans="1:31" x14ac:dyDescent="0.25">
      <c r="A9" s="260" t="s">
        <v>353</v>
      </c>
      <c r="B9" s="627" t="e">
        <f>Input!K24</f>
        <v>#VALUE!</v>
      </c>
      <c r="C9" s="619" t="e">
        <f>B9*100+C23</f>
        <v>#VALUE!</v>
      </c>
      <c r="D9" s="653"/>
      <c r="E9" s="249"/>
      <c r="F9" s="249"/>
      <c r="G9" s="249"/>
      <c r="H9" s="249"/>
      <c r="I9" s="249"/>
      <c r="J9" s="249"/>
      <c r="S9" s="254">
        <v>1</v>
      </c>
      <c r="T9" s="254">
        <v>1</v>
      </c>
      <c r="U9" s="440"/>
      <c r="V9" s="440">
        <v>0</v>
      </c>
      <c r="X9" s="466">
        <v>12001005</v>
      </c>
      <c r="Y9" s="466">
        <v>12011005</v>
      </c>
      <c r="Z9" s="466"/>
      <c r="AA9" s="648">
        <v>11002005</v>
      </c>
      <c r="AB9" s="457" t="s">
        <v>458</v>
      </c>
      <c r="AC9" s="454">
        <f>IF(Input!L2&gt;5,1,0)</f>
        <v>1</v>
      </c>
      <c r="AE9" s="254">
        <v>1017</v>
      </c>
    </row>
    <row r="10" spans="1:31" x14ac:dyDescent="0.2">
      <c r="A10" s="252" t="s">
        <v>355</v>
      </c>
      <c r="B10" s="253">
        <v>1</v>
      </c>
      <c r="S10" s="254">
        <v>2</v>
      </c>
      <c r="T10" s="254">
        <v>2</v>
      </c>
      <c r="V10" s="440">
        <f>IF(B60=3,5,1)</f>
        <v>1</v>
      </c>
      <c r="W10" s="249" t="e">
        <f>CONCATENATE(W2,W3,W4,W5)</f>
        <v>#VALUE!</v>
      </c>
      <c r="X10" s="466">
        <v>12101001</v>
      </c>
      <c r="Y10" s="466">
        <v>12111001</v>
      </c>
      <c r="Z10" s="466"/>
      <c r="AA10" s="648">
        <v>11002101</v>
      </c>
      <c r="AB10" s="457" t="e">
        <f>AB8/10000</f>
        <v>#VALUE!</v>
      </c>
      <c r="AE10" s="254">
        <v>1018</v>
      </c>
    </row>
    <row r="11" spans="1:31" ht="13.8" thickBot="1" x14ac:dyDescent="0.3">
      <c r="A11" s="252" t="s">
        <v>356</v>
      </c>
      <c r="B11" s="253">
        <v>2</v>
      </c>
      <c r="E11" s="247" t="s">
        <v>16</v>
      </c>
      <c r="F11" s="261">
        <v>720</v>
      </c>
      <c r="G11" s="261"/>
      <c r="H11" s="261">
        <v>360</v>
      </c>
      <c r="I11" s="262">
        <v>1</v>
      </c>
      <c r="J11" s="251" t="s">
        <v>358</v>
      </c>
      <c r="L11" s="261">
        <v>720</v>
      </c>
      <c r="M11" s="261"/>
      <c r="N11" s="261">
        <v>360</v>
      </c>
      <c r="O11" s="262"/>
      <c r="S11" s="254">
        <v>3</v>
      </c>
      <c r="T11" s="254">
        <v>2</v>
      </c>
      <c r="U11" s="249" t="e">
        <f>CONCATENATE(U2,U3,U4,U5,U6,U7,U8,U9)</f>
        <v>#VALUE!</v>
      </c>
      <c r="V11" s="443" t="e">
        <f>CONCATENATE(V2,V3,V4,V5,V6,V8,V9,V10)</f>
        <v>#VALUE!</v>
      </c>
      <c r="X11" s="466">
        <v>12101005</v>
      </c>
      <c r="Y11" s="466">
        <v>12111005</v>
      </c>
      <c r="Z11" s="466"/>
      <c r="AA11" s="648">
        <v>11002105</v>
      </c>
      <c r="AB11" s="457" t="e">
        <f>AB10-INT(AB10)</f>
        <v>#VALUE!</v>
      </c>
      <c r="AE11" s="254">
        <v>1019</v>
      </c>
    </row>
    <row r="12" spans="1:31" ht="13.8" thickBot="1" x14ac:dyDescent="0.25">
      <c r="A12" s="252" t="s">
        <v>357</v>
      </c>
      <c r="B12" s="253">
        <v>3</v>
      </c>
      <c r="E12" s="255"/>
      <c r="F12" s="255">
        <v>1</v>
      </c>
      <c r="G12" s="255">
        <v>2</v>
      </c>
      <c r="H12" s="255">
        <v>1</v>
      </c>
      <c r="I12" s="255">
        <v>2</v>
      </c>
      <c r="J12" s="255">
        <v>2</v>
      </c>
      <c r="L12" s="255">
        <v>1</v>
      </c>
      <c r="M12" s="255">
        <v>2</v>
      </c>
      <c r="N12" s="255">
        <v>1</v>
      </c>
      <c r="O12" s="255">
        <v>2</v>
      </c>
      <c r="S12" s="254">
        <v>4</v>
      </c>
      <c r="T12" s="254">
        <v>2</v>
      </c>
      <c r="V12" s="469" t="e">
        <f>AB14</f>
        <v>#VALUE!</v>
      </c>
      <c r="X12" s="466">
        <v>12201001</v>
      </c>
      <c r="Y12" s="466">
        <v>12211001</v>
      </c>
      <c r="Z12" s="466"/>
      <c r="AA12" s="648">
        <v>11002201</v>
      </c>
      <c r="AB12" s="457" t="e">
        <f>AB11+5000</f>
        <v>#VALUE!</v>
      </c>
      <c r="AE12" s="254">
        <v>1020</v>
      </c>
    </row>
    <row r="13" spans="1:31" ht="13.8" thickBot="1" x14ac:dyDescent="0.25">
      <c r="A13" s="252" t="s">
        <v>359</v>
      </c>
      <c r="B13" s="253">
        <v>4</v>
      </c>
      <c r="E13" s="256" t="s">
        <v>32</v>
      </c>
      <c r="F13" s="686">
        <f>L13</f>
        <v>0.28000000000000003</v>
      </c>
      <c r="G13" s="686" t="e">
        <f>(2*(ROUND(M13*$C$69/2,2)))</f>
        <v>#VALUE!</v>
      </c>
      <c r="H13" s="686">
        <f>N13</f>
        <v>0.3</v>
      </c>
      <c r="I13" s="692" t="e">
        <f>(2*(ROUND(O13*$C$69/2,2)))</f>
        <v>#VALUE!</v>
      </c>
      <c r="J13" s="688">
        <v>0.04</v>
      </c>
      <c r="L13" s="686">
        <v>0.28000000000000003</v>
      </c>
      <c r="M13" s="686">
        <v>0.1</v>
      </c>
      <c r="N13" s="686">
        <v>0.3</v>
      </c>
      <c r="O13" s="686">
        <v>0.12</v>
      </c>
      <c r="Q13" s="684">
        <v>0.95</v>
      </c>
      <c r="R13" s="685" t="s">
        <v>662</v>
      </c>
      <c r="S13" s="254">
        <v>5</v>
      </c>
      <c r="T13" s="254">
        <v>2</v>
      </c>
      <c r="X13" s="466">
        <v>12201005</v>
      </c>
      <c r="Y13" s="466">
        <v>12211005</v>
      </c>
      <c r="Z13" s="466"/>
      <c r="AA13" s="648">
        <v>11002205</v>
      </c>
      <c r="AB13" s="457" t="e">
        <f>AB12*10000</f>
        <v>#VALUE!</v>
      </c>
      <c r="AE13" s="254">
        <v>1021</v>
      </c>
    </row>
    <row r="14" spans="1:31" ht="13.8" thickBot="1" x14ac:dyDescent="0.25">
      <c r="A14" s="252" t="s">
        <v>360</v>
      </c>
      <c r="B14" s="253">
        <v>5</v>
      </c>
      <c r="E14" s="256" t="s">
        <v>33</v>
      </c>
      <c r="F14" s="686">
        <f>L14</f>
        <v>0.5</v>
      </c>
      <c r="G14" s="686" t="e">
        <f t="shared" ref="G14:G20" si="0">(2*(ROUND(M14*$C$69/2,2)))</f>
        <v>#VALUE!</v>
      </c>
      <c r="H14" s="686">
        <f>N14</f>
        <v>0.55699999999999994</v>
      </c>
      <c r="I14" s="692" t="e">
        <f t="shared" ref="I14:I20" si="1">(2*(ROUND(O14*$C$69/2,2)))</f>
        <v>#VALUE!</v>
      </c>
      <c r="J14" s="688">
        <v>0.04</v>
      </c>
      <c r="L14" s="686">
        <v>0.5</v>
      </c>
      <c r="M14" s="686">
        <v>0.16</v>
      </c>
      <c r="N14" s="686">
        <v>0.55699999999999994</v>
      </c>
      <c r="O14" s="686">
        <v>0.18</v>
      </c>
      <c r="Q14" s="684">
        <v>0.95</v>
      </c>
      <c r="R14" s="685" t="s">
        <v>662</v>
      </c>
      <c r="S14" s="254">
        <v>6</v>
      </c>
      <c r="T14" s="254">
        <v>2</v>
      </c>
      <c r="U14" s="249" t="s">
        <v>97</v>
      </c>
      <c r="W14" s="628">
        <f>Input!K9</f>
        <v>0</v>
      </c>
      <c r="X14" s="465">
        <v>21001001</v>
      </c>
      <c r="Y14" s="465">
        <v>21011001</v>
      </c>
      <c r="Z14" s="465">
        <v>21021001</v>
      </c>
      <c r="AA14" s="648">
        <v>11003001</v>
      </c>
      <c r="AB14" s="468" t="e">
        <f>IF(AC9=1,AB13,AB8)</f>
        <v>#VALUE!</v>
      </c>
      <c r="AE14" s="254">
        <v>1022</v>
      </c>
    </row>
    <row r="15" spans="1:31" s="249" customFormat="1" x14ac:dyDescent="0.2">
      <c r="A15" s="252" t="s">
        <v>537</v>
      </c>
      <c r="B15" s="253">
        <v>6</v>
      </c>
      <c r="C15" s="254"/>
      <c r="D15" s="440"/>
      <c r="E15" s="680" t="s">
        <v>653</v>
      </c>
      <c r="F15" s="686">
        <f>L15</f>
        <v>0.62</v>
      </c>
      <c r="G15" s="686" t="e">
        <f t="shared" si="0"/>
        <v>#VALUE!</v>
      </c>
      <c r="H15" s="686">
        <f>N15</f>
        <v>0.67700000000000005</v>
      </c>
      <c r="I15" s="692" t="e">
        <f t="shared" si="1"/>
        <v>#VALUE!</v>
      </c>
      <c r="J15" s="688">
        <v>0.04</v>
      </c>
      <c r="K15" s="254"/>
      <c r="L15" s="686">
        <v>0.62</v>
      </c>
      <c r="M15" s="686">
        <v>0.2</v>
      </c>
      <c r="N15" s="686">
        <v>0.67700000000000005</v>
      </c>
      <c r="O15" s="686">
        <v>0.2</v>
      </c>
      <c r="Q15" s="684">
        <v>0.95</v>
      </c>
      <c r="R15" s="685" t="s">
        <v>662</v>
      </c>
      <c r="S15" s="254">
        <v>7</v>
      </c>
      <c r="T15" s="254">
        <v>2</v>
      </c>
      <c r="U15" s="254" t="s">
        <v>424</v>
      </c>
      <c r="V15" s="254" t="e">
        <f>VLOOKUP(Input!K9,Input!L9:N13,3)</f>
        <v>#N/A</v>
      </c>
      <c r="W15" s="254" t="e">
        <f>IF(V16="BVG",1,IF(V16="keine",2,5))</f>
        <v>#VALUE!</v>
      </c>
      <c r="X15" s="465">
        <v>21001005</v>
      </c>
      <c r="Y15" s="465">
        <v>21011005</v>
      </c>
      <c r="Z15" s="465">
        <v>21021005</v>
      </c>
      <c r="AA15" s="648">
        <v>11003005</v>
      </c>
      <c r="AB15" s="460"/>
      <c r="AC15" s="454"/>
      <c r="AD15" s="454"/>
      <c r="AE15" s="254">
        <v>1023</v>
      </c>
    </row>
    <row r="16" spans="1:31" x14ac:dyDescent="0.2">
      <c r="A16" s="252" t="s">
        <v>538</v>
      </c>
      <c r="B16" s="253">
        <v>7</v>
      </c>
      <c r="E16" s="680" t="s">
        <v>654</v>
      </c>
      <c r="F16" s="613">
        <v>0.64</v>
      </c>
      <c r="G16" s="613" t="e">
        <f t="shared" si="0"/>
        <v>#VALUE!</v>
      </c>
      <c r="H16" s="613">
        <f t="shared" ref="H16:H18" si="2">N16*$Q16</f>
        <v>0.7</v>
      </c>
      <c r="I16" s="693" t="e">
        <f t="shared" si="1"/>
        <v>#VALUE!</v>
      </c>
      <c r="J16" s="688">
        <v>0.04</v>
      </c>
      <c r="L16" s="613">
        <v>0.64</v>
      </c>
      <c r="M16" s="613">
        <v>0.2</v>
      </c>
      <c r="N16" s="613">
        <v>0.7</v>
      </c>
      <c r="O16" s="613">
        <v>0.22</v>
      </c>
      <c r="P16" s="249"/>
      <c r="Q16" s="690">
        <v>1</v>
      </c>
      <c r="R16" s="685" t="s">
        <v>664</v>
      </c>
      <c r="S16" s="254">
        <v>8</v>
      </c>
      <c r="T16" s="254">
        <v>2</v>
      </c>
      <c r="U16" s="254" t="s">
        <v>425</v>
      </c>
      <c r="V16" s="254" t="e">
        <f>IF(Input!K9=5,"fix",VLOOKUP(Input!K14,Input!L14:N15,3))</f>
        <v>#VALUE!</v>
      </c>
      <c r="W16" s="254" t="e">
        <f>IF(V17="BVG",1,IF(V17="UVG",2,3))</f>
        <v>#VALUE!</v>
      </c>
      <c r="X16" s="466">
        <v>21101001</v>
      </c>
      <c r="Y16" s="466">
        <v>21111001</v>
      </c>
      <c r="Z16" s="466"/>
      <c r="AA16" s="648">
        <v>11003101</v>
      </c>
      <c r="AB16" s="460"/>
      <c r="AE16" s="254">
        <v>1024</v>
      </c>
    </row>
    <row r="17" spans="1:31" x14ac:dyDescent="0.2">
      <c r="A17" s="252" t="s">
        <v>539</v>
      </c>
      <c r="B17" s="253">
        <v>8</v>
      </c>
      <c r="E17" s="256" t="s">
        <v>35</v>
      </c>
      <c r="F17" s="613">
        <v>0.72</v>
      </c>
      <c r="G17" s="613" t="e">
        <f t="shared" si="0"/>
        <v>#VALUE!</v>
      </c>
      <c r="H17" s="613">
        <f t="shared" si="2"/>
        <v>0.79999999999999993</v>
      </c>
      <c r="I17" s="693" t="e">
        <f t="shared" si="1"/>
        <v>#VALUE!</v>
      </c>
      <c r="J17" s="688">
        <v>0.12</v>
      </c>
      <c r="L17" s="613">
        <v>0.72</v>
      </c>
      <c r="M17" s="613">
        <v>0.26</v>
      </c>
      <c r="N17" s="613">
        <v>0.79999999999999993</v>
      </c>
      <c r="O17" s="613">
        <v>0.3</v>
      </c>
      <c r="Q17" s="690">
        <v>1</v>
      </c>
      <c r="R17" s="685" t="s">
        <v>664</v>
      </c>
      <c r="S17" s="254">
        <v>9</v>
      </c>
      <c r="T17" s="254">
        <v>2</v>
      </c>
      <c r="U17" s="254" t="s">
        <v>140</v>
      </c>
      <c r="V17" s="254" t="e">
        <f>IF(Input!K9=5,"ohne",VLOOKUP(Input!K17,Input!L17:N19,3))</f>
        <v>#VALUE!</v>
      </c>
      <c r="W17" s="249" t="e">
        <f>W14*100+W15*10+W16</f>
        <v>#VALUE!</v>
      </c>
      <c r="X17" s="466">
        <v>21101005</v>
      </c>
      <c r="Y17" s="466">
        <v>21111005</v>
      </c>
      <c r="Z17" s="466"/>
      <c r="AA17" s="648">
        <v>11003105</v>
      </c>
      <c r="AB17" s="460"/>
      <c r="AE17" s="254">
        <v>1025</v>
      </c>
    </row>
    <row r="18" spans="1:31" x14ac:dyDescent="0.2">
      <c r="A18" s="252" t="s">
        <v>540</v>
      </c>
      <c r="B18" s="253">
        <v>9</v>
      </c>
      <c r="E18" s="680" t="s">
        <v>655</v>
      </c>
      <c r="F18" s="613">
        <v>0.62</v>
      </c>
      <c r="G18" s="613" t="e">
        <f t="shared" si="0"/>
        <v>#VALUE!</v>
      </c>
      <c r="H18" s="613">
        <f t="shared" si="2"/>
        <v>0.67999999999999994</v>
      </c>
      <c r="I18" s="693" t="e">
        <f t="shared" si="1"/>
        <v>#VALUE!</v>
      </c>
      <c r="J18" s="688">
        <v>0.24</v>
      </c>
      <c r="L18" s="613">
        <v>0.62</v>
      </c>
      <c r="M18" s="613">
        <v>0.18</v>
      </c>
      <c r="N18" s="613">
        <v>0.67999999999999994</v>
      </c>
      <c r="O18" s="613">
        <v>0.2</v>
      </c>
      <c r="Q18" s="690">
        <v>1</v>
      </c>
      <c r="R18" s="685" t="s">
        <v>664</v>
      </c>
      <c r="S18" s="254">
        <v>10</v>
      </c>
      <c r="T18" s="254">
        <v>2</v>
      </c>
      <c r="V18" s="254" t="e">
        <f>CONCATENATE(V15,"_",V16,"_",V17)</f>
        <v>#N/A</v>
      </c>
      <c r="X18" s="466">
        <v>21201001</v>
      </c>
      <c r="Y18" s="466">
        <v>21211001</v>
      </c>
      <c r="Z18" s="466"/>
      <c r="AA18" s="648">
        <v>11003201</v>
      </c>
      <c r="AB18" s="460"/>
      <c r="AE18" s="254">
        <v>1026</v>
      </c>
    </row>
    <row r="19" spans="1:31" x14ac:dyDescent="0.2">
      <c r="A19" s="252"/>
      <c r="B19" s="253"/>
      <c r="D19" s="625"/>
      <c r="E19" s="680" t="s">
        <v>656</v>
      </c>
      <c r="F19" s="687">
        <f>L19</f>
        <v>0.46</v>
      </c>
      <c r="G19" s="687" t="e">
        <f t="shared" si="0"/>
        <v>#VALUE!</v>
      </c>
      <c r="H19" s="687">
        <v>0.52</v>
      </c>
      <c r="I19" s="694" t="e">
        <f t="shared" si="1"/>
        <v>#VALUE!</v>
      </c>
      <c r="J19" s="688">
        <v>0.24</v>
      </c>
      <c r="L19" s="687">
        <v>0.46</v>
      </c>
      <c r="M19" s="687">
        <v>0.14000000000000001</v>
      </c>
      <c r="N19" s="687">
        <v>0.52</v>
      </c>
      <c r="O19" s="687">
        <v>0.16</v>
      </c>
      <c r="Q19" s="689">
        <v>0.75</v>
      </c>
      <c r="R19" s="685" t="s">
        <v>663</v>
      </c>
      <c r="S19" s="254">
        <v>11</v>
      </c>
      <c r="T19" s="254">
        <v>2</v>
      </c>
      <c r="X19" s="466">
        <v>21201005</v>
      </c>
      <c r="Y19" s="466">
        <v>21211005</v>
      </c>
      <c r="Z19" s="466"/>
      <c r="AA19" s="648">
        <v>11003205</v>
      </c>
      <c r="AB19" s="460"/>
      <c r="AE19" s="254">
        <v>1027</v>
      </c>
    </row>
    <row r="20" spans="1:31" x14ac:dyDescent="0.2">
      <c r="A20" s="252" t="s">
        <v>635</v>
      </c>
      <c r="B20" s="253">
        <v>11</v>
      </c>
      <c r="D20" s="653"/>
      <c r="E20" s="256" t="s">
        <v>354</v>
      </c>
      <c r="F20" s="613">
        <v>0</v>
      </c>
      <c r="G20" s="613" t="e">
        <f t="shared" si="0"/>
        <v>#VALUE!</v>
      </c>
      <c r="H20" s="613">
        <v>0</v>
      </c>
      <c r="I20" s="693" t="e">
        <f t="shared" si="1"/>
        <v>#VALUE!</v>
      </c>
      <c r="J20" s="688">
        <v>0</v>
      </c>
      <c r="L20" s="613">
        <v>0</v>
      </c>
      <c r="M20" s="613">
        <v>0</v>
      </c>
      <c r="N20" s="613">
        <v>0</v>
      </c>
      <c r="O20" s="613">
        <v>0</v>
      </c>
      <c r="S20" s="254">
        <v>12</v>
      </c>
      <c r="T20" s="254">
        <v>2</v>
      </c>
      <c r="U20" s="249" t="s">
        <v>422</v>
      </c>
      <c r="V20" s="254" t="e">
        <f>VLOOKUP(Input!K39,Input!L39:S52,8)</f>
        <v>#VALUE!</v>
      </c>
      <c r="X20" s="466">
        <v>22001001</v>
      </c>
      <c r="Y20" s="466">
        <v>22011001</v>
      </c>
      <c r="Z20" s="466"/>
      <c r="AA20" s="648">
        <v>11004001</v>
      </c>
      <c r="AB20" s="460"/>
      <c r="AE20" s="254">
        <v>1028</v>
      </c>
    </row>
    <row r="21" spans="1:31" s="249" customFormat="1" x14ac:dyDescent="0.2">
      <c r="A21" s="257" t="s">
        <v>636</v>
      </c>
      <c r="B21" s="258">
        <v>12</v>
      </c>
      <c r="C21" s="254"/>
      <c r="D21" s="440"/>
      <c r="E21" s="622"/>
      <c r="F21" s="623"/>
      <c r="G21" s="623"/>
      <c r="H21" s="623"/>
      <c r="I21" s="265"/>
      <c r="J21" s="265"/>
      <c r="K21" s="254"/>
      <c r="L21" s="254"/>
      <c r="M21" s="254"/>
      <c r="N21" s="254"/>
      <c r="O21" s="254"/>
      <c r="P21" s="254"/>
      <c r="Q21" s="254"/>
      <c r="S21" s="254">
        <v>13</v>
      </c>
      <c r="T21" s="254">
        <v>2</v>
      </c>
      <c r="U21" s="249" t="s">
        <v>17</v>
      </c>
      <c r="V21" s="254" t="e">
        <f>VLOOKUP(Input!K55,Input!L55:S60,8)</f>
        <v>#VALUE!</v>
      </c>
      <c r="X21" s="466">
        <v>22001005</v>
      </c>
      <c r="Y21" s="466">
        <v>22011005</v>
      </c>
      <c r="Z21" s="466"/>
      <c r="AA21" s="648">
        <v>11004005</v>
      </c>
      <c r="AB21" s="460"/>
      <c r="AC21" s="454"/>
      <c r="AD21" s="454"/>
      <c r="AE21" s="254">
        <v>1029</v>
      </c>
    </row>
    <row r="22" spans="1:31" x14ac:dyDescent="0.2">
      <c r="C22" s="249"/>
      <c r="S22" s="254">
        <v>14</v>
      </c>
      <c r="T22" s="254">
        <v>2</v>
      </c>
      <c r="X22" s="466">
        <v>22101001</v>
      </c>
      <c r="Y22" s="466">
        <v>22111001</v>
      </c>
      <c r="Z22" s="466"/>
      <c r="AA22" s="648">
        <v>11004101</v>
      </c>
      <c r="AB22" s="460"/>
      <c r="AE22" s="254">
        <v>1050</v>
      </c>
    </row>
    <row r="23" spans="1:31" x14ac:dyDescent="0.25">
      <c r="A23" s="260" t="s">
        <v>12</v>
      </c>
      <c r="B23" s="248" t="e">
        <f>VLOOKUP(Input!K36,S4:T6,2)</f>
        <v>#VALUE!</v>
      </c>
      <c r="C23" s="619" t="e">
        <f>IF(B23=3,0,B23)</f>
        <v>#VALUE!</v>
      </c>
      <c r="D23" s="625"/>
      <c r="K23" s="249"/>
      <c r="L23" s="249"/>
      <c r="M23" s="249"/>
      <c r="N23" s="249"/>
      <c r="O23" s="249"/>
      <c r="P23" s="249"/>
      <c r="Q23" s="249"/>
      <c r="R23" s="440"/>
      <c r="U23" s="249" t="s">
        <v>521</v>
      </c>
      <c r="X23" s="466">
        <v>22101005</v>
      </c>
      <c r="Y23" s="466">
        <v>22111005</v>
      </c>
      <c r="Z23" s="466"/>
      <c r="AA23" s="648">
        <v>11004105</v>
      </c>
      <c r="AB23" s="460"/>
      <c r="AE23" s="254">
        <v>1051</v>
      </c>
    </row>
    <row r="24" spans="1:31" x14ac:dyDescent="0.25">
      <c r="A24" s="252" t="s">
        <v>361</v>
      </c>
      <c r="B24" s="620">
        <v>1</v>
      </c>
      <c r="E24" s="247" t="s">
        <v>12</v>
      </c>
      <c r="F24" s="250"/>
      <c r="G24" s="250"/>
      <c r="H24" s="250"/>
      <c r="I24" s="250"/>
      <c r="J24" s="251"/>
      <c r="R24" s="440"/>
      <c r="S24" s="249" t="s">
        <v>113</v>
      </c>
      <c r="U24" s="254" t="str">
        <f>LEFT(U2,V24-1)</f>
        <v>AHV</v>
      </c>
      <c r="V24" s="254">
        <f>LEN(U2)</f>
        <v>4</v>
      </c>
      <c r="X24" s="466">
        <v>22201001</v>
      </c>
      <c r="Y24" s="466">
        <v>22211001</v>
      </c>
      <c r="Z24" s="466"/>
      <c r="AA24" s="648">
        <v>11004201</v>
      </c>
      <c r="AB24" s="460"/>
      <c r="AE24" s="254">
        <v>1052</v>
      </c>
    </row>
    <row r="25" spans="1:31" x14ac:dyDescent="0.2">
      <c r="A25" s="257" t="s">
        <v>362</v>
      </c>
      <c r="B25" s="410">
        <v>2</v>
      </c>
      <c r="D25" s="625"/>
      <c r="E25" s="255"/>
      <c r="F25" s="255">
        <v>1</v>
      </c>
      <c r="G25" s="255">
        <v>2</v>
      </c>
      <c r="H25" s="255">
        <v>3</v>
      </c>
      <c r="I25" s="255"/>
      <c r="J25" s="255"/>
      <c r="K25" s="621" t="s">
        <v>520</v>
      </c>
      <c r="L25" s="624"/>
      <c r="M25" s="624"/>
      <c r="N25" s="624"/>
      <c r="O25" s="624"/>
      <c r="P25" s="624"/>
      <c r="Q25" s="624"/>
      <c r="R25" s="440"/>
      <c r="S25" s="254">
        <v>1</v>
      </c>
      <c r="T25" s="254">
        <v>2</v>
      </c>
      <c r="U25" s="254" t="e">
        <f>LEFT(U3,V25-1)</f>
        <v>#VALUE!</v>
      </c>
      <c r="V25" s="254">
        <f>LEN(U3)</f>
        <v>0</v>
      </c>
      <c r="X25" s="466">
        <v>22201005</v>
      </c>
      <c r="Y25" s="466">
        <v>22211005</v>
      </c>
      <c r="Z25" s="466"/>
      <c r="AA25" s="648">
        <v>11004205</v>
      </c>
      <c r="AB25" s="460"/>
      <c r="AE25" s="254">
        <v>1053</v>
      </c>
    </row>
    <row r="26" spans="1:31" x14ac:dyDescent="0.2">
      <c r="A26" s="263" t="s">
        <v>137</v>
      </c>
      <c r="B26" s="620">
        <v>3</v>
      </c>
      <c r="C26" s="621" t="s">
        <v>519</v>
      </c>
      <c r="E26" s="256" t="s">
        <v>33</v>
      </c>
      <c r="F26" s="256">
        <v>2</v>
      </c>
      <c r="G26" s="256">
        <v>4</v>
      </c>
      <c r="H26" s="256">
        <v>0</v>
      </c>
      <c r="I26" s="256"/>
      <c r="J26" s="256"/>
      <c r="K26" s="621" t="s">
        <v>522</v>
      </c>
      <c r="L26" s="624"/>
      <c r="M26" s="624"/>
      <c r="N26" s="624"/>
      <c r="O26" s="624"/>
      <c r="P26" s="624"/>
      <c r="Q26" s="624"/>
      <c r="R26" s="440"/>
      <c r="S26" s="254">
        <v>2</v>
      </c>
      <c r="T26" s="254">
        <v>1</v>
      </c>
      <c r="U26" s="254" t="e">
        <f>LEFT(U4,V26-1)</f>
        <v>#VALUE!</v>
      </c>
      <c r="V26" s="254" t="e">
        <f>LEN(U4)</f>
        <v>#VALUE!</v>
      </c>
      <c r="X26" s="467"/>
      <c r="Y26" s="467"/>
      <c r="Z26" s="467"/>
      <c r="AA26" s="648">
        <v>11005001</v>
      </c>
      <c r="AB26" s="460"/>
      <c r="AE26" s="254">
        <v>1054</v>
      </c>
    </row>
    <row r="27" spans="1:31" s="249" customFormat="1" x14ac:dyDescent="0.2">
      <c r="A27" s="259"/>
      <c r="B27" s="259"/>
      <c r="C27" s="254"/>
      <c r="D27" s="440"/>
      <c r="E27" s="256" t="s">
        <v>34</v>
      </c>
      <c r="F27" s="256">
        <v>2</v>
      </c>
      <c r="G27" s="256">
        <v>3</v>
      </c>
      <c r="H27" s="256">
        <v>0</v>
      </c>
      <c r="I27" s="256"/>
      <c r="J27" s="256"/>
      <c r="K27" s="254"/>
      <c r="L27" s="254"/>
      <c r="M27" s="254"/>
      <c r="N27" s="254"/>
      <c r="O27" s="254"/>
      <c r="P27" s="254"/>
      <c r="Q27" s="254"/>
      <c r="R27" s="625"/>
      <c r="U27" s="254" t="e">
        <f>LEFT(U5,V27-1)</f>
        <v>#VALUE!</v>
      </c>
      <c r="V27" s="254" t="e">
        <f>LEN(U5)</f>
        <v>#VALUE!</v>
      </c>
      <c r="X27" s="462"/>
      <c r="Y27" s="463">
        <v>11011001</v>
      </c>
      <c r="Z27" s="463">
        <v>11021001</v>
      </c>
      <c r="AA27" s="648">
        <v>11005005</v>
      </c>
      <c r="AB27" s="460"/>
      <c r="AC27" s="454"/>
      <c r="AD27" s="454"/>
      <c r="AE27" s="254">
        <v>1055</v>
      </c>
    </row>
    <row r="28" spans="1:31" x14ac:dyDescent="0.25">
      <c r="A28" s="260" t="s">
        <v>24</v>
      </c>
      <c r="B28" s="248">
        <f>IF(C31=1,3,VLOOKUP(Input!K39,S9:T22,2))</f>
        <v>3</v>
      </c>
      <c r="C28" s="249"/>
      <c r="D28" s="654"/>
      <c r="E28" s="256" t="s">
        <v>35</v>
      </c>
      <c r="F28" s="256">
        <v>2</v>
      </c>
      <c r="G28" s="256">
        <v>2</v>
      </c>
      <c r="H28" s="256">
        <v>0</v>
      </c>
      <c r="I28" s="256"/>
      <c r="J28" s="256"/>
      <c r="R28" s="440"/>
      <c r="S28" s="249" t="s">
        <v>375</v>
      </c>
      <c r="U28" s="254" t="e">
        <f>LEFT(U6,V28-1)</f>
        <v>#VALUE!</v>
      </c>
      <c r="V28" s="254" t="e">
        <f>LEN(U6)</f>
        <v>#VALUE!</v>
      </c>
      <c r="X28" s="462"/>
      <c r="Y28" s="463">
        <v>11011005</v>
      </c>
      <c r="Z28" s="463">
        <v>11021005</v>
      </c>
      <c r="AA28" s="648">
        <v>11005101</v>
      </c>
      <c r="AB28" s="460"/>
      <c r="AE28" s="254">
        <v>1056</v>
      </c>
    </row>
    <row r="29" spans="1:31" x14ac:dyDescent="0.2">
      <c r="A29" s="263" t="s">
        <v>363</v>
      </c>
      <c r="B29" s="253">
        <v>1</v>
      </c>
      <c r="E29" s="256" t="s">
        <v>352</v>
      </c>
      <c r="F29" s="256">
        <v>0</v>
      </c>
      <c r="G29" s="256">
        <v>0</v>
      </c>
      <c r="H29" s="256">
        <v>0</v>
      </c>
      <c r="I29" s="256"/>
      <c r="J29" s="256"/>
      <c r="K29" s="249"/>
      <c r="L29" s="249"/>
      <c r="M29" s="249"/>
      <c r="N29" s="249"/>
      <c r="O29" s="249"/>
      <c r="P29" s="249"/>
      <c r="Q29" s="249"/>
      <c r="R29" s="440"/>
      <c r="S29" s="254">
        <v>1</v>
      </c>
      <c r="T29" s="254">
        <v>1</v>
      </c>
      <c r="U29" s="268" t="e">
        <f>Input!K41</f>
        <v>#VALUE!</v>
      </c>
      <c r="X29" s="462"/>
      <c r="Y29" s="463">
        <v>21011001</v>
      </c>
      <c r="Z29" s="463">
        <v>21021001</v>
      </c>
      <c r="AA29" s="648">
        <v>11005105</v>
      </c>
      <c r="AB29" s="460"/>
      <c r="AE29" s="254">
        <v>1057</v>
      </c>
    </row>
    <row r="30" spans="1:31" x14ac:dyDescent="0.2">
      <c r="A30" s="252" t="s">
        <v>364</v>
      </c>
      <c r="B30" s="253">
        <v>2</v>
      </c>
      <c r="E30" s="256" t="s">
        <v>354</v>
      </c>
      <c r="F30" s="256">
        <v>0</v>
      </c>
      <c r="G30" s="256">
        <v>0</v>
      </c>
      <c r="H30" s="256">
        <v>0</v>
      </c>
      <c r="I30" s="256"/>
      <c r="J30" s="256"/>
      <c r="R30" s="440"/>
      <c r="S30" s="254">
        <v>2</v>
      </c>
      <c r="T30" s="254">
        <v>2</v>
      </c>
      <c r="U30" s="254" t="e">
        <f>U8</f>
        <v>#VALUE!</v>
      </c>
      <c r="X30" s="462"/>
      <c r="Y30" s="463">
        <v>21011005</v>
      </c>
      <c r="Z30" s="463">
        <v>21021005</v>
      </c>
      <c r="AA30" s="648">
        <v>11005201</v>
      </c>
      <c r="AB30" s="460"/>
      <c r="AE30" s="254">
        <v>1058</v>
      </c>
    </row>
    <row r="31" spans="1:31" x14ac:dyDescent="0.2">
      <c r="A31" s="409" t="s">
        <v>365</v>
      </c>
      <c r="B31" s="410">
        <v>3</v>
      </c>
      <c r="C31" s="408">
        <f>IF(OR(AND(Input!K3=1,Input!K2&gt;65),AND(Input!K3=2,Input!K2&gt;64)),1,"")</f>
        <v>1</v>
      </c>
      <c r="D31" s="653"/>
      <c r="V31" s="440"/>
      <c r="W31" s="254">
        <v>3</v>
      </c>
      <c r="X31" s="254">
        <v>3</v>
      </c>
      <c r="Y31" s="254"/>
      <c r="Z31" s="254"/>
      <c r="AA31" s="648">
        <v>11005205</v>
      </c>
      <c r="AB31" s="460"/>
      <c r="AE31" s="254">
        <v>1059</v>
      </c>
    </row>
    <row r="32" spans="1:31" s="249" customFormat="1" x14ac:dyDescent="0.2">
      <c r="A32" s="259"/>
      <c r="B32" s="259"/>
      <c r="C32" s="254"/>
      <c r="D32" s="440"/>
      <c r="E32" s="254"/>
      <c r="F32" s="254"/>
      <c r="G32" s="254"/>
      <c r="H32" s="254"/>
      <c r="I32" s="254"/>
      <c r="J32" s="254"/>
      <c r="K32" s="254"/>
      <c r="L32" s="254"/>
      <c r="M32" s="254"/>
      <c r="N32" s="254"/>
      <c r="O32" s="254"/>
      <c r="P32" s="254"/>
      <c r="Q32" s="254"/>
      <c r="R32" s="272"/>
      <c r="S32" s="272"/>
      <c r="T32" s="272"/>
      <c r="U32" s="272"/>
      <c r="V32" s="625"/>
      <c r="W32" s="254">
        <v>4</v>
      </c>
      <c r="X32" s="254">
        <v>3</v>
      </c>
      <c r="Y32" s="254"/>
      <c r="Z32" s="254"/>
      <c r="AA32" s="456">
        <v>11006001</v>
      </c>
      <c r="AB32" s="460"/>
      <c r="AC32" s="454"/>
      <c r="AD32" s="454"/>
      <c r="AE32" s="254">
        <v>1060</v>
      </c>
    </row>
    <row r="33" spans="1:31" x14ac:dyDescent="0.25">
      <c r="E33" s="247" t="s">
        <v>21</v>
      </c>
      <c r="F33" s="261"/>
      <c r="G33" s="261"/>
      <c r="H33" s="261"/>
      <c r="I33" s="261"/>
      <c r="J33" s="251"/>
      <c r="K33" s="250"/>
      <c r="L33" s="250"/>
      <c r="M33" s="250"/>
      <c r="N33" s="250"/>
      <c r="O33" s="266" t="s">
        <v>11</v>
      </c>
      <c r="P33" s="251"/>
      <c r="R33" s="642"/>
      <c r="S33" s="642"/>
      <c r="T33" s="642"/>
      <c r="U33" s="642"/>
      <c r="V33" s="440"/>
      <c r="X33" s="254"/>
      <c r="Y33" s="254"/>
      <c r="Z33" s="249"/>
      <c r="AA33" s="456">
        <v>11006005</v>
      </c>
      <c r="AB33" s="460"/>
      <c r="AE33" s="254">
        <v>1061</v>
      </c>
    </row>
    <row r="34" spans="1:31" x14ac:dyDescent="0.25">
      <c r="A34" s="260" t="s">
        <v>366</v>
      </c>
      <c r="B34" s="248" t="e">
        <f>VLOOKUP(Input!K17,S55:T57,2)</f>
        <v>#VALUE!</v>
      </c>
      <c r="C34" s="619" t="e">
        <f>IF(B34=3,1,IF(B34=1,3,2))</f>
        <v>#VALUE!</v>
      </c>
      <c r="E34" s="255"/>
      <c r="F34" s="255">
        <v>1</v>
      </c>
      <c r="G34" s="255">
        <v>2</v>
      </c>
      <c r="H34" s="255">
        <v>3</v>
      </c>
      <c r="I34" s="255">
        <v>4</v>
      </c>
      <c r="J34" s="255">
        <v>5</v>
      </c>
      <c r="K34" s="255">
        <v>6</v>
      </c>
      <c r="L34" s="255">
        <v>7</v>
      </c>
      <c r="M34" s="255">
        <v>8</v>
      </c>
      <c r="N34" s="255">
        <v>9</v>
      </c>
      <c r="O34" s="255">
        <v>1</v>
      </c>
      <c r="P34" s="255">
        <v>2</v>
      </c>
      <c r="Q34" s="255">
        <v>3</v>
      </c>
      <c r="R34" s="642"/>
      <c r="S34" s="642"/>
      <c r="T34" s="642"/>
      <c r="U34" s="642"/>
      <c r="V34" s="440"/>
      <c r="W34" s="249" t="s">
        <v>21</v>
      </c>
      <c r="X34" s="254"/>
      <c r="Y34" s="254"/>
      <c r="Z34" s="254"/>
      <c r="AA34" s="456">
        <v>11006101</v>
      </c>
      <c r="AB34" s="460"/>
      <c r="AE34" s="254">
        <v>1062</v>
      </c>
    </row>
    <row r="35" spans="1:31" x14ac:dyDescent="0.2">
      <c r="A35" s="263" t="s">
        <v>368</v>
      </c>
      <c r="B35" s="253">
        <v>1</v>
      </c>
      <c r="E35" s="256" t="s">
        <v>32</v>
      </c>
      <c r="F35" s="614">
        <v>0.06</v>
      </c>
      <c r="G35" s="614">
        <v>8.0000000000000016E-2</v>
      </c>
      <c r="H35" s="614">
        <v>9.6000000000000002E-2</v>
      </c>
      <c r="I35" s="614">
        <v>0.12</v>
      </c>
      <c r="J35" s="614">
        <v>0.14000000000000001</v>
      </c>
      <c r="K35" s="615">
        <v>8.0000000000000016E-2</v>
      </c>
      <c r="L35" s="615">
        <v>0.1</v>
      </c>
      <c r="M35" s="615">
        <v>4.0000000000000008E-2</v>
      </c>
      <c r="N35" s="615">
        <v>0.06</v>
      </c>
      <c r="O35" s="615">
        <v>0.02</v>
      </c>
      <c r="P35" s="615">
        <v>0.04</v>
      </c>
      <c r="Q35" s="615">
        <v>0</v>
      </c>
      <c r="R35" s="642"/>
      <c r="S35" s="642"/>
      <c r="T35" s="642"/>
      <c r="U35" s="642"/>
      <c r="V35" s="440"/>
      <c r="W35" s="254">
        <v>1</v>
      </c>
      <c r="X35" s="254">
        <v>2</v>
      </c>
      <c r="Y35" s="254"/>
      <c r="Z35" s="254"/>
      <c r="AA35" s="456">
        <v>11006105</v>
      </c>
      <c r="AB35" s="460"/>
      <c r="AE35" s="254">
        <v>1063</v>
      </c>
    </row>
    <row r="36" spans="1:31" x14ac:dyDescent="0.2">
      <c r="A36" s="252" t="s">
        <v>367</v>
      </c>
      <c r="B36" s="253">
        <v>2</v>
      </c>
      <c r="E36" s="256" t="s">
        <v>33</v>
      </c>
      <c r="F36" s="614">
        <v>0.14000000000000001</v>
      </c>
      <c r="G36" s="614">
        <v>0.18</v>
      </c>
      <c r="H36" s="614">
        <v>0.22</v>
      </c>
      <c r="I36" s="614">
        <v>0.24</v>
      </c>
      <c r="J36" s="614">
        <v>0.28000000000000003</v>
      </c>
      <c r="K36" s="615">
        <v>0.18</v>
      </c>
      <c r="L36" s="615">
        <v>0.18</v>
      </c>
      <c r="M36" s="615">
        <v>8.0000000000000016E-2</v>
      </c>
      <c r="N36" s="615">
        <v>0.1</v>
      </c>
      <c r="O36" s="615">
        <v>0.04</v>
      </c>
      <c r="P36" s="615">
        <v>0.06</v>
      </c>
      <c r="Q36" s="615">
        <v>0</v>
      </c>
      <c r="R36" s="642"/>
      <c r="S36" s="642"/>
      <c r="T36" s="642"/>
      <c r="U36" s="642"/>
      <c r="V36" s="440"/>
      <c r="W36" s="254">
        <v>2</v>
      </c>
      <c r="X36" s="254">
        <v>1</v>
      </c>
      <c r="Y36" s="254"/>
      <c r="Z36" s="254"/>
      <c r="AA36" s="456">
        <v>11006201</v>
      </c>
      <c r="AB36" s="460"/>
      <c r="AE36" s="254">
        <v>1064</v>
      </c>
    </row>
    <row r="37" spans="1:31" s="249" customFormat="1" x14ac:dyDescent="0.2">
      <c r="A37" s="277" t="s">
        <v>211</v>
      </c>
      <c r="B37" s="253">
        <v>3</v>
      </c>
      <c r="C37" s="254"/>
      <c r="D37" s="440"/>
      <c r="E37" s="256" t="s">
        <v>653</v>
      </c>
      <c r="F37" s="614">
        <v>0.22</v>
      </c>
      <c r="G37" s="614">
        <v>0.3</v>
      </c>
      <c r="H37" s="614">
        <v>0.38</v>
      </c>
      <c r="I37" s="614">
        <v>0.42</v>
      </c>
      <c r="J37" s="614">
        <v>0.48</v>
      </c>
      <c r="K37" s="615">
        <v>0.24</v>
      </c>
      <c r="L37" s="615">
        <v>0.26</v>
      </c>
      <c r="M37" s="615">
        <v>0.18</v>
      </c>
      <c r="N37" s="615">
        <v>0.2</v>
      </c>
      <c r="O37" s="615">
        <v>0.06</v>
      </c>
      <c r="P37" s="615">
        <v>0.06</v>
      </c>
      <c r="Q37" s="615">
        <v>0</v>
      </c>
      <c r="R37" s="642"/>
      <c r="S37" s="642"/>
      <c r="T37" s="642"/>
      <c r="U37" s="642"/>
      <c r="V37" s="625"/>
      <c r="Y37" s="254"/>
      <c r="Z37" s="254"/>
      <c r="AA37" s="456">
        <v>11006205</v>
      </c>
      <c r="AB37" s="460"/>
      <c r="AC37" s="454"/>
      <c r="AD37" s="454"/>
      <c r="AE37" s="254">
        <v>1065</v>
      </c>
    </row>
    <row r="38" spans="1:31" x14ac:dyDescent="0.2">
      <c r="A38" s="277" t="s">
        <v>549</v>
      </c>
      <c r="B38" s="253">
        <v>4</v>
      </c>
      <c r="E38" s="256" t="s">
        <v>654</v>
      </c>
      <c r="F38" s="614">
        <v>0.22</v>
      </c>
      <c r="G38" s="614">
        <v>0.3</v>
      </c>
      <c r="H38" s="614">
        <v>0.38</v>
      </c>
      <c r="I38" s="614">
        <v>0.42</v>
      </c>
      <c r="J38" s="614">
        <v>0.48</v>
      </c>
      <c r="K38" s="615">
        <v>0.24</v>
      </c>
      <c r="L38" s="615">
        <v>0.26</v>
      </c>
      <c r="M38" s="615">
        <v>0.18</v>
      </c>
      <c r="N38" s="615">
        <v>0.2</v>
      </c>
      <c r="O38" s="615">
        <v>0.06</v>
      </c>
      <c r="P38" s="615">
        <v>0.06</v>
      </c>
      <c r="Q38" s="615">
        <v>0</v>
      </c>
      <c r="R38" s="642"/>
      <c r="S38" s="642"/>
      <c r="T38" s="642"/>
      <c r="U38" s="642"/>
      <c r="V38" s="440"/>
      <c r="W38" s="249" t="s">
        <v>380</v>
      </c>
      <c r="X38" s="254"/>
      <c r="Y38" s="254"/>
      <c r="Z38" s="249"/>
      <c r="AA38" s="456">
        <v>11007001</v>
      </c>
      <c r="AB38" s="460"/>
      <c r="AE38" s="254">
        <v>1066</v>
      </c>
    </row>
    <row r="39" spans="1:31" x14ac:dyDescent="0.2">
      <c r="A39" s="277" t="s">
        <v>550</v>
      </c>
      <c r="B39" s="253">
        <v>5</v>
      </c>
      <c r="E39" s="256" t="s">
        <v>35</v>
      </c>
      <c r="F39" s="614">
        <v>0.3</v>
      </c>
      <c r="G39" s="614">
        <v>0.5</v>
      </c>
      <c r="H39" s="614">
        <v>0.52</v>
      </c>
      <c r="I39" s="614">
        <v>0.57999999999999996</v>
      </c>
      <c r="J39" s="614">
        <v>0.7</v>
      </c>
      <c r="K39" s="615">
        <v>0.34</v>
      </c>
      <c r="L39" s="615">
        <v>0.34</v>
      </c>
      <c r="M39" s="615">
        <v>0.34</v>
      </c>
      <c r="N39" s="615">
        <v>0.36</v>
      </c>
      <c r="O39" s="615">
        <v>0.04</v>
      </c>
      <c r="P39" s="615">
        <v>0.04</v>
      </c>
      <c r="Q39" s="615">
        <v>0</v>
      </c>
      <c r="R39" s="440"/>
      <c r="S39" s="254">
        <v>1</v>
      </c>
      <c r="T39" s="254">
        <v>1</v>
      </c>
      <c r="AA39" s="456">
        <v>11007005</v>
      </c>
      <c r="AB39" s="460"/>
      <c r="AE39" s="254">
        <v>1067</v>
      </c>
    </row>
    <row r="40" spans="1:31" x14ac:dyDescent="0.2">
      <c r="A40" s="277" t="s">
        <v>551</v>
      </c>
      <c r="B40" s="253">
        <v>6</v>
      </c>
      <c r="D40" s="625"/>
      <c r="E40" s="256" t="s">
        <v>655</v>
      </c>
      <c r="F40" s="614">
        <v>0.3</v>
      </c>
      <c r="G40" s="614">
        <v>0.5</v>
      </c>
      <c r="H40" s="614">
        <v>0.52</v>
      </c>
      <c r="I40" s="614">
        <v>0.57999999999999996</v>
      </c>
      <c r="J40" s="614">
        <v>0.7</v>
      </c>
      <c r="K40" s="615">
        <v>0.34</v>
      </c>
      <c r="L40" s="615">
        <v>0.34</v>
      </c>
      <c r="M40" s="615">
        <v>0.34</v>
      </c>
      <c r="N40" s="615">
        <v>0.36</v>
      </c>
      <c r="O40" s="615">
        <v>0</v>
      </c>
      <c r="P40" s="615">
        <v>0</v>
      </c>
      <c r="Q40" s="615">
        <v>0</v>
      </c>
      <c r="R40" s="440"/>
      <c r="S40" s="254">
        <v>2</v>
      </c>
      <c r="T40" s="254">
        <v>11</v>
      </c>
      <c r="AA40" s="456">
        <v>11007101</v>
      </c>
      <c r="AB40" s="460"/>
      <c r="AE40" s="254">
        <v>1068</v>
      </c>
    </row>
    <row r="41" spans="1:31" s="249" customFormat="1" x14ac:dyDescent="0.2">
      <c r="A41" s="407" t="s">
        <v>551</v>
      </c>
      <c r="B41" s="258">
        <v>7</v>
      </c>
      <c r="C41" s="254"/>
      <c r="D41" s="440"/>
      <c r="E41" s="256" t="s">
        <v>656</v>
      </c>
      <c r="F41" s="614">
        <v>0.3</v>
      </c>
      <c r="G41" s="614">
        <v>0.5</v>
      </c>
      <c r="H41" s="614">
        <v>0.52</v>
      </c>
      <c r="I41" s="614">
        <v>0.57999999999999996</v>
      </c>
      <c r="J41" s="614">
        <v>0.7</v>
      </c>
      <c r="K41" s="615">
        <v>0.34</v>
      </c>
      <c r="L41" s="615">
        <v>0.34</v>
      </c>
      <c r="M41" s="615">
        <v>0.34</v>
      </c>
      <c r="N41" s="615">
        <v>0.36</v>
      </c>
      <c r="O41" s="615">
        <v>0</v>
      </c>
      <c r="P41" s="615">
        <v>0</v>
      </c>
      <c r="Q41" s="615">
        <v>0</v>
      </c>
      <c r="R41" s="625"/>
      <c r="S41" s="254">
        <v>3</v>
      </c>
      <c r="T41" s="254">
        <v>12</v>
      </c>
      <c r="U41" s="254"/>
      <c r="V41" s="254"/>
      <c r="X41" s="461"/>
      <c r="Y41" s="461"/>
      <c r="Z41" s="461"/>
      <c r="AA41" s="456">
        <v>11007105</v>
      </c>
      <c r="AB41" s="460"/>
      <c r="AC41" s="454"/>
      <c r="AD41" s="454"/>
      <c r="AE41" s="254">
        <v>1069</v>
      </c>
    </row>
    <row r="42" spans="1:31" x14ac:dyDescent="0.2">
      <c r="E42" s="256" t="s">
        <v>354</v>
      </c>
      <c r="F42" s="614">
        <v>0</v>
      </c>
      <c r="G42" s="695">
        <v>0</v>
      </c>
      <c r="H42" s="614">
        <v>0</v>
      </c>
      <c r="I42" s="614">
        <v>0</v>
      </c>
      <c r="J42" s="614">
        <v>0</v>
      </c>
      <c r="K42" s="615">
        <v>0</v>
      </c>
      <c r="L42" s="615">
        <v>0</v>
      </c>
      <c r="M42" s="615">
        <v>0</v>
      </c>
      <c r="N42" s="615">
        <v>0</v>
      </c>
      <c r="O42" s="615">
        <v>0</v>
      </c>
      <c r="P42" s="615">
        <v>0</v>
      </c>
      <c r="Q42" s="615">
        <v>0</v>
      </c>
      <c r="R42" s="440"/>
      <c r="S42" s="254">
        <v>4</v>
      </c>
      <c r="T42" s="254">
        <v>13</v>
      </c>
      <c r="V42" s="249"/>
      <c r="AA42" s="456">
        <v>11007201</v>
      </c>
      <c r="AB42" s="460"/>
      <c r="AE42" s="254">
        <v>1110</v>
      </c>
    </row>
    <row r="43" spans="1:31" x14ac:dyDescent="0.25">
      <c r="A43" s="260" t="s">
        <v>369</v>
      </c>
      <c r="B43" s="627">
        <f>Input!K53</f>
        <v>2</v>
      </c>
      <c r="C43" s="249"/>
      <c r="K43" s="440"/>
      <c r="L43" s="440"/>
      <c r="M43" s="440"/>
      <c r="N43" s="440"/>
      <c r="O43" s="440"/>
      <c r="P43" s="440"/>
      <c r="Q43" s="440"/>
      <c r="R43" s="440"/>
      <c r="S43" s="254">
        <v>5</v>
      </c>
      <c r="T43" s="254">
        <v>14</v>
      </c>
      <c r="AA43" s="456">
        <v>11007205</v>
      </c>
      <c r="AB43" s="460"/>
      <c r="AE43" s="254">
        <v>1111</v>
      </c>
    </row>
    <row r="44" spans="1:31" x14ac:dyDescent="0.2">
      <c r="A44" s="263" t="s">
        <v>67</v>
      </c>
      <c r="B44" s="253">
        <v>1</v>
      </c>
      <c r="K44" s="625"/>
      <c r="L44" s="440"/>
      <c r="M44" s="440"/>
      <c r="N44" s="440"/>
      <c r="O44" s="440"/>
      <c r="P44" s="440"/>
      <c r="Q44" s="440"/>
      <c r="S44" s="254">
        <v>6</v>
      </c>
      <c r="T44" s="254">
        <v>2</v>
      </c>
      <c r="AA44" s="456">
        <v>11008001</v>
      </c>
      <c r="AB44" s="460"/>
      <c r="AE44" s="254">
        <v>1112</v>
      </c>
    </row>
    <row r="45" spans="1:31" s="249" customFormat="1" x14ac:dyDescent="0.25">
      <c r="A45" s="257" t="s">
        <v>68</v>
      </c>
      <c r="B45" s="258">
        <v>2</v>
      </c>
      <c r="C45" s="254"/>
      <c r="D45" s="625"/>
      <c r="E45" s="269"/>
      <c r="F45" s="270"/>
      <c r="G45" s="270"/>
      <c r="H45" s="270"/>
      <c r="I45" s="270"/>
      <c r="J45" s="264"/>
      <c r="K45" s="625"/>
      <c r="L45" s="625"/>
      <c r="M45" s="625"/>
      <c r="N45" s="625"/>
      <c r="O45" s="625"/>
      <c r="P45" s="625"/>
      <c r="Q45" s="625"/>
      <c r="S45" s="254">
        <v>7</v>
      </c>
      <c r="T45" s="254">
        <v>3</v>
      </c>
      <c r="U45" s="254"/>
      <c r="V45" s="254"/>
      <c r="X45" s="461"/>
      <c r="Y45" s="461"/>
      <c r="Z45" s="461"/>
      <c r="AA45" s="456">
        <v>11008005</v>
      </c>
      <c r="AB45" s="460"/>
      <c r="AC45" s="454"/>
      <c r="AD45" s="454"/>
      <c r="AE45" s="254">
        <v>1113</v>
      </c>
    </row>
    <row r="46" spans="1:31" x14ac:dyDescent="0.2">
      <c r="D46" s="655"/>
      <c r="E46" s="272"/>
      <c r="F46" s="272"/>
      <c r="G46" s="272"/>
      <c r="H46" s="272"/>
      <c r="I46" s="272"/>
      <c r="J46" s="272"/>
      <c r="S46" s="254">
        <v>8</v>
      </c>
      <c r="T46" s="254">
        <v>4</v>
      </c>
      <c r="V46" s="249"/>
      <c r="AA46" s="456">
        <v>11008101</v>
      </c>
      <c r="AB46" s="460"/>
      <c r="AE46" s="254">
        <v>1114</v>
      </c>
    </row>
    <row r="47" spans="1:31" x14ac:dyDescent="0.25">
      <c r="A47" s="260" t="s">
        <v>18</v>
      </c>
      <c r="B47" s="248" t="e">
        <f>Input!K55</f>
        <v>#VALUE!</v>
      </c>
      <c r="D47" s="655"/>
      <c r="E47" s="264"/>
      <c r="F47" s="264"/>
      <c r="G47" s="264"/>
      <c r="H47" s="264"/>
      <c r="I47" s="264"/>
      <c r="J47" s="264"/>
      <c r="S47" s="254">
        <v>9</v>
      </c>
      <c r="T47" s="254">
        <v>5</v>
      </c>
      <c r="AA47" s="456">
        <v>11008105</v>
      </c>
      <c r="AB47" s="460"/>
      <c r="AE47" s="254">
        <v>1115</v>
      </c>
    </row>
    <row r="48" spans="1:31" x14ac:dyDescent="0.25">
      <c r="A48" s="263" t="s">
        <v>137</v>
      </c>
      <c r="B48" s="253">
        <v>1</v>
      </c>
      <c r="C48" s="249"/>
      <c r="D48" s="655"/>
      <c r="E48" s="735" t="s">
        <v>637</v>
      </c>
      <c r="F48" s="736"/>
      <c r="G48" s="736"/>
      <c r="H48" s="736"/>
      <c r="I48" s="736"/>
      <c r="J48" s="736"/>
      <c r="K48" s="736"/>
      <c r="L48" s="736"/>
      <c r="M48" s="736"/>
      <c r="N48" s="737"/>
      <c r="S48" s="254">
        <v>10</v>
      </c>
      <c r="T48" s="254">
        <v>6</v>
      </c>
      <c r="AA48" s="456">
        <v>11008201</v>
      </c>
      <c r="AB48" s="460"/>
      <c r="AE48" s="254">
        <v>1116</v>
      </c>
    </row>
    <row r="49" spans="1:31" x14ac:dyDescent="0.2">
      <c r="A49" s="263" t="s">
        <v>370</v>
      </c>
      <c r="B49" s="253">
        <v>2</v>
      </c>
      <c r="C49" s="267">
        <v>0.5</v>
      </c>
      <c r="D49" s="655"/>
      <c r="E49" s="659"/>
      <c r="F49" s="659">
        <v>11</v>
      </c>
      <c r="G49" s="659">
        <v>12</v>
      </c>
      <c r="H49" s="659">
        <v>13</v>
      </c>
      <c r="I49" s="659">
        <v>21</v>
      </c>
      <c r="J49" s="659">
        <v>22</v>
      </c>
      <c r="K49" s="659">
        <v>23</v>
      </c>
      <c r="L49" s="659"/>
      <c r="M49" s="659"/>
      <c r="N49" s="659"/>
      <c r="O49" s="249"/>
      <c r="P49" s="249"/>
      <c r="Q49" s="249"/>
      <c r="S49" s="254">
        <v>11</v>
      </c>
      <c r="T49" s="254">
        <v>7</v>
      </c>
      <c r="AA49" s="456">
        <v>11008205</v>
      </c>
      <c r="AB49" s="460"/>
      <c r="AE49" s="254">
        <v>1117</v>
      </c>
    </row>
    <row r="50" spans="1:31" x14ac:dyDescent="0.2">
      <c r="A50" s="263" t="s">
        <v>371</v>
      </c>
      <c r="B50" s="253">
        <v>3</v>
      </c>
      <c r="C50" s="267">
        <v>1</v>
      </c>
      <c r="D50" s="656"/>
      <c r="E50" s="660" t="s">
        <v>33</v>
      </c>
      <c r="F50" s="660">
        <v>7</v>
      </c>
      <c r="G50" s="660">
        <v>8</v>
      </c>
      <c r="H50" s="660">
        <v>10</v>
      </c>
      <c r="I50" s="660">
        <v>6</v>
      </c>
      <c r="J50" s="660">
        <v>7</v>
      </c>
      <c r="K50" s="660">
        <v>8</v>
      </c>
      <c r="L50" s="660"/>
      <c r="M50" s="660"/>
      <c r="N50" s="660"/>
      <c r="S50" s="254">
        <v>12</v>
      </c>
      <c r="T50" s="254">
        <v>8</v>
      </c>
      <c r="AA50" s="456">
        <v>11009001</v>
      </c>
      <c r="AB50" s="460"/>
      <c r="AE50" s="254">
        <v>1118</v>
      </c>
    </row>
    <row r="51" spans="1:31" x14ac:dyDescent="0.2">
      <c r="A51" s="263" t="s">
        <v>372</v>
      </c>
      <c r="B51" s="253">
        <v>4</v>
      </c>
      <c r="C51" s="267">
        <v>1.5</v>
      </c>
      <c r="D51" s="657"/>
      <c r="E51" s="660" t="s">
        <v>34</v>
      </c>
      <c r="F51" s="660">
        <v>10</v>
      </c>
      <c r="G51" s="660">
        <v>12</v>
      </c>
      <c r="H51" s="660">
        <v>14</v>
      </c>
      <c r="I51" s="660">
        <v>8</v>
      </c>
      <c r="J51" s="660">
        <v>10</v>
      </c>
      <c r="K51" s="660">
        <v>12</v>
      </c>
      <c r="L51" s="660"/>
      <c r="M51" s="660"/>
      <c r="N51" s="660"/>
      <c r="S51" s="254">
        <v>13</v>
      </c>
      <c r="T51" s="254">
        <v>9</v>
      </c>
      <c r="AA51" s="456">
        <v>11009005</v>
      </c>
      <c r="AB51" s="460"/>
      <c r="AE51" s="254">
        <v>1119</v>
      </c>
    </row>
    <row r="52" spans="1:31" x14ac:dyDescent="0.2">
      <c r="A52" s="263" t="s">
        <v>373</v>
      </c>
      <c r="B52" s="253">
        <v>5</v>
      </c>
      <c r="C52" s="267">
        <v>2</v>
      </c>
      <c r="D52" s="656"/>
      <c r="E52" s="660" t="s">
        <v>35</v>
      </c>
      <c r="F52" s="660">
        <v>15</v>
      </c>
      <c r="G52" s="660">
        <v>16</v>
      </c>
      <c r="H52" s="660">
        <v>18</v>
      </c>
      <c r="I52" s="660">
        <v>11</v>
      </c>
      <c r="J52" s="660">
        <v>12</v>
      </c>
      <c r="K52" s="660">
        <v>16</v>
      </c>
      <c r="L52" s="660"/>
      <c r="M52" s="660"/>
      <c r="N52" s="660"/>
      <c r="S52" s="254">
        <v>14</v>
      </c>
      <c r="T52" s="254">
        <v>10</v>
      </c>
      <c r="AA52" s="456">
        <v>11009101</v>
      </c>
      <c r="AB52" s="460"/>
      <c r="AE52" s="254">
        <v>1120</v>
      </c>
    </row>
    <row r="53" spans="1:31" x14ac:dyDescent="0.2">
      <c r="A53" s="257" t="s">
        <v>464</v>
      </c>
      <c r="B53" s="258">
        <v>6</v>
      </c>
      <c r="C53" s="268"/>
      <c r="D53" s="656"/>
      <c r="E53" s="660" t="s">
        <v>352</v>
      </c>
      <c r="F53" s="660">
        <v>18</v>
      </c>
      <c r="G53" s="660">
        <v>20</v>
      </c>
      <c r="H53" s="660">
        <v>22</v>
      </c>
      <c r="I53" s="660">
        <v>14</v>
      </c>
      <c r="J53" s="660">
        <v>16</v>
      </c>
      <c r="K53" s="660">
        <v>20</v>
      </c>
      <c r="L53" s="660"/>
      <c r="M53" s="660"/>
      <c r="N53" s="660"/>
      <c r="AA53" s="456">
        <v>11009105</v>
      </c>
      <c r="AB53" s="460"/>
      <c r="AE53" s="254">
        <v>1121</v>
      </c>
    </row>
    <row r="54" spans="1:31" x14ac:dyDescent="0.2">
      <c r="C54" s="271"/>
      <c r="D54" s="656"/>
      <c r="E54" s="660" t="s">
        <v>354</v>
      </c>
      <c r="F54" s="660">
        <v>18</v>
      </c>
      <c r="G54" s="660">
        <v>20</v>
      </c>
      <c r="H54" s="660">
        <v>22</v>
      </c>
      <c r="I54" s="660">
        <v>14</v>
      </c>
      <c r="J54" s="660">
        <v>16</v>
      </c>
      <c r="K54" s="660">
        <v>20</v>
      </c>
      <c r="L54" s="660"/>
      <c r="M54" s="660"/>
      <c r="N54" s="660"/>
      <c r="S54" s="249" t="s">
        <v>366</v>
      </c>
      <c r="AA54" s="456">
        <v>11009201</v>
      </c>
      <c r="AB54" s="460"/>
      <c r="AE54" s="254">
        <v>1122</v>
      </c>
    </row>
    <row r="55" spans="1:31" x14ac:dyDescent="0.25">
      <c r="A55" s="260" t="s">
        <v>374</v>
      </c>
      <c r="B55" s="248" t="e">
        <f>IF(Input!K9=5,3,VLOOKUP(Input!K14,S25:T26,2))</f>
        <v>#VALUE!</v>
      </c>
      <c r="C55" s="268"/>
      <c r="D55" s="656"/>
      <c r="S55" s="254">
        <v>1</v>
      </c>
      <c r="T55" s="254">
        <v>1</v>
      </c>
      <c r="AA55" s="456">
        <v>11009205</v>
      </c>
      <c r="AB55" s="460"/>
      <c r="AE55" s="254">
        <v>1123</v>
      </c>
    </row>
    <row r="56" spans="1:31" x14ac:dyDescent="0.2">
      <c r="A56" s="263" t="s">
        <v>368</v>
      </c>
      <c r="B56" s="253">
        <v>1</v>
      </c>
      <c r="C56" s="268"/>
      <c r="D56" s="657"/>
      <c r="S56" s="254">
        <v>2</v>
      </c>
      <c r="T56" s="254">
        <v>3</v>
      </c>
      <c r="AA56" s="456">
        <v>11011001</v>
      </c>
      <c r="AB56" s="460"/>
      <c r="AE56" s="254">
        <v>1124</v>
      </c>
    </row>
    <row r="57" spans="1:31" x14ac:dyDescent="0.2">
      <c r="A57" s="252" t="s">
        <v>98</v>
      </c>
      <c r="B57" s="253">
        <v>2</v>
      </c>
      <c r="C57" s="268"/>
      <c r="D57" s="656"/>
      <c r="E57" s="254" t="s">
        <v>638</v>
      </c>
      <c r="S57" s="254">
        <v>3</v>
      </c>
      <c r="T57" s="254">
        <v>2</v>
      </c>
      <c r="AA57" s="456">
        <v>11011001</v>
      </c>
      <c r="AB57" s="460"/>
      <c r="AE57" s="254">
        <v>1125</v>
      </c>
    </row>
    <row r="58" spans="1:31" x14ac:dyDescent="0.2">
      <c r="A58" s="407" t="s">
        <v>463</v>
      </c>
      <c r="B58" s="258">
        <v>3</v>
      </c>
      <c r="C58" s="268"/>
      <c r="D58" s="656"/>
      <c r="AA58" s="456">
        <v>11011001</v>
      </c>
      <c r="AB58" s="460"/>
      <c r="AE58" s="254">
        <v>1126</v>
      </c>
    </row>
    <row r="59" spans="1:31" x14ac:dyDescent="0.2">
      <c r="A59" s="273"/>
      <c r="B59" s="273"/>
      <c r="C59" s="271"/>
      <c r="D59" s="656"/>
      <c r="E59" s="254">
        <v>11</v>
      </c>
      <c r="F59" s="254">
        <v>2</v>
      </c>
      <c r="AA59" s="456">
        <v>11011005</v>
      </c>
      <c r="AB59" s="460"/>
      <c r="AE59" s="254">
        <v>1127</v>
      </c>
    </row>
    <row r="60" spans="1:31" x14ac:dyDescent="0.25">
      <c r="A60" s="260" t="s">
        <v>375</v>
      </c>
      <c r="B60" s="248">
        <f>VLOOKUP(Input!K5,S29:T32,2)</f>
        <v>1</v>
      </c>
      <c r="C60" s="268"/>
      <c r="D60" s="656"/>
      <c r="E60" s="254">
        <v>12</v>
      </c>
      <c r="F60" s="254">
        <v>3</v>
      </c>
      <c r="AA60" s="456">
        <v>11011005</v>
      </c>
      <c r="AB60" s="460"/>
      <c r="AE60" s="254">
        <v>1128</v>
      </c>
    </row>
    <row r="61" spans="1:31" x14ac:dyDescent="0.2">
      <c r="A61" s="263" t="s">
        <v>376</v>
      </c>
      <c r="B61" s="253">
        <v>1</v>
      </c>
      <c r="C61" s="268"/>
      <c r="D61" s="654"/>
      <c r="E61" s="254">
        <v>13</v>
      </c>
      <c r="F61" s="254">
        <v>4</v>
      </c>
      <c r="AA61" s="648">
        <v>11011101</v>
      </c>
      <c r="AB61" s="460"/>
      <c r="AE61" s="254">
        <v>1129</v>
      </c>
    </row>
    <row r="62" spans="1:31" x14ac:dyDescent="0.2">
      <c r="A62" s="263" t="s">
        <v>377</v>
      </c>
      <c r="B62" s="253">
        <v>2</v>
      </c>
      <c r="C62" s="268"/>
      <c r="D62" s="654"/>
      <c r="E62" s="254">
        <v>21</v>
      </c>
      <c r="F62" s="254">
        <v>5</v>
      </c>
      <c r="AA62" s="648">
        <v>11011105</v>
      </c>
      <c r="AB62" s="460"/>
      <c r="AE62" s="254">
        <v>1150</v>
      </c>
    </row>
    <row r="63" spans="1:31" x14ac:dyDescent="0.2">
      <c r="A63" s="257" t="s">
        <v>378</v>
      </c>
      <c r="B63" s="258">
        <v>3</v>
      </c>
      <c r="C63" s="268"/>
      <c r="D63" s="656"/>
      <c r="E63" s="254">
        <v>22</v>
      </c>
      <c r="F63" s="254">
        <v>6</v>
      </c>
      <c r="AA63" s="648">
        <v>11011201</v>
      </c>
      <c r="AB63" s="460"/>
      <c r="AE63" s="254">
        <v>1151</v>
      </c>
    </row>
    <row r="64" spans="1:31" x14ac:dyDescent="0.2">
      <c r="C64" s="626" t="s">
        <v>523</v>
      </c>
      <c r="D64" s="656"/>
      <c r="E64" s="254">
        <v>23</v>
      </c>
      <c r="F64" s="254">
        <v>7</v>
      </c>
      <c r="AA64" s="648">
        <v>11011205</v>
      </c>
      <c r="AB64" s="460"/>
      <c r="AE64" s="254">
        <v>1152</v>
      </c>
    </row>
    <row r="65" spans="1:31" x14ac:dyDescent="0.25">
      <c r="A65" s="260" t="s">
        <v>21</v>
      </c>
      <c r="B65" s="248" t="e">
        <f>VLOOKUP(Input!K61,W35:X36,2)</f>
        <v>#VALUE!</v>
      </c>
      <c r="C65" s="626" t="e">
        <f>IF(AND(AND(C2=111,C9=100),B28=1),2,0)</f>
        <v>#VALUE!</v>
      </c>
      <c r="D65" s="656"/>
      <c r="AA65" s="648">
        <v>11012001</v>
      </c>
      <c r="AB65" s="460"/>
      <c r="AE65" s="254">
        <v>1153</v>
      </c>
    </row>
    <row r="66" spans="1:31" x14ac:dyDescent="0.2">
      <c r="A66" s="263" t="s">
        <v>368</v>
      </c>
      <c r="B66" s="253">
        <v>1</v>
      </c>
      <c r="C66" s="268"/>
      <c r="D66" s="656"/>
      <c r="AA66" s="648">
        <v>11012005</v>
      </c>
      <c r="AB66" s="460"/>
      <c r="AE66" s="254">
        <v>1154</v>
      </c>
    </row>
    <row r="67" spans="1:31" x14ac:dyDescent="0.25">
      <c r="A67" s="257" t="s">
        <v>379</v>
      </c>
      <c r="B67" s="258">
        <v>2</v>
      </c>
      <c r="C67" s="268"/>
      <c r="D67" s="656"/>
      <c r="E67" s="735" t="s">
        <v>639</v>
      </c>
      <c r="F67" s="736"/>
      <c r="G67" s="736"/>
      <c r="H67" s="736"/>
      <c r="I67" s="736"/>
      <c r="J67" s="736"/>
      <c r="K67" s="736"/>
      <c r="L67" s="736"/>
      <c r="M67" s="736"/>
      <c r="N67" s="737"/>
      <c r="AA67" s="648">
        <v>11012101</v>
      </c>
      <c r="AB67" s="460"/>
      <c r="AE67" s="254">
        <v>1155</v>
      </c>
    </row>
    <row r="68" spans="1:31" x14ac:dyDescent="0.2">
      <c r="C68" s="268"/>
      <c r="D68" s="658"/>
      <c r="E68" s="659"/>
      <c r="F68" s="659">
        <v>11</v>
      </c>
      <c r="G68" s="659">
        <v>12</v>
      </c>
      <c r="H68" s="659">
        <v>13</v>
      </c>
      <c r="I68" s="659">
        <v>21</v>
      </c>
      <c r="J68" s="659">
        <v>22</v>
      </c>
      <c r="K68" s="659">
        <v>23</v>
      </c>
      <c r="L68" s="659"/>
      <c r="M68" s="659"/>
      <c r="N68" s="659"/>
      <c r="AA68" s="648">
        <v>11012105</v>
      </c>
      <c r="AB68" s="460"/>
      <c r="AE68" s="254">
        <v>1156</v>
      </c>
    </row>
    <row r="69" spans="1:31" x14ac:dyDescent="0.25">
      <c r="A69" s="260" t="s">
        <v>380</v>
      </c>
      <c r="B69" s="248" t="e">
        <f>VLOOKUP(Input!K39,S39:T52,2)</f>
        <v>#VALUE!</v>
      </c>
      <c r="C69" s="268" t="e">
        <f>VLOOKUP(B69,B70:C83,2)*10</f>
        <v>#VALUE!</v>
      </c>
      <c r="D69" s="658"/>
      <c r="E69" s="660" t="s">
        <v>33</v>
      </c>
      <c r="F69" s="660">
        <v>5</v>
      </c>
      <c r="G69" s="660">
        <v>5</v>
      </c>
      <c r="H69" s="660">
        <v>5</v>
      </c>
      <c r="I69" s="660">
        <v>4</v>
      </c>
      <c r="J69" s="660">
        <v>4</v>
      </c>
      <c r="K69" s="660">
        <v>4</v>
      </c>
      <c r="L69" s="660"/>
      <c r="M69" s="660"/>
      <c r="N69" s="660"/>
      <c r="AA69" s="648">
        <v>11012201</v>
      </c>
      <c r="AB69" s="460"/>
      <c r="AE69" s="254">
        <v>1157</v>
      </c>
    </row>
    <row r="70" spans="1:31" x14ac:dyDescent="0.2">
      <c r="A70" s="263" t="s">
        <v>381</v>
      </c>
      <c r="B70" s="253">
        <v>1</v>
      </c>
      <c r="C70" s="268"/>
      <c r="D70" s="658"/>
      <c r="E70" s="660" t="s">
        <v>34</v>
      </c>
      <c r="F70" s="660">
        <v>7</v>
      </c>
      <c r="G70" s="660">
        <v>7</v>
      </c>
      <c r="H70" s="660">
        <v>7</v>
      </c>
      <c r="I70" s="660">
        <v>6</v>
      </c>
      <c r="J70" s="660">
        <v>6</v>
      </c>
      <c r="K70" s="660">
        <v>6</v>
      </c>
      <c r="L70" s="660"/>
      <c r="M70" s="660"/>
      <c r="N70" s="660"/>
      <c r="AA70" s="648">
        <v>11012205</v>
      </c>
      <c r="AB70" s="460"/>
      <c r="AE70" s="254">
        <v>1158</v>
      </c>
    </row>
    <row r="71" spans="1:31" x14ac:dyDescent="0.2">
      <c r="A71" s="274">
        <v>0.3</v>
      </c>
      <c r="B71" s="253">
        <v>2</v>
      </c>
      <c r="C71" s="275">
        <v>0.3</v>
      </c>
      <c r="D71" s="658"/>
      <c r="E71" s="660" t="s">
        <v>35</v>
      </c>
      <c r="F71" s="660">
        <v>9</v>
      </c>
      <c r="G71" s="660">
        <v>9</v>
      </c>
      <c r="H71" s="660">
        <v>9</v>
      </c>
      <c r="I71" s="660">
        <v>8</v>
      </c>
      <c r="J71" s="660">
        <v>8</v>
      </c>
      <c r="K71" s="660">
        <v>8</v>
      </c>
      <c r="L71" s="660"/>
      <c r="M71" s="660"/>
      <c r="N71" s="660"/>
      <c r="AA71" s="648">
        <v>11013001</v>
      </c>
      <c r="AB71" s="460"/>
      <c r="AE71" s="254">
        <v>1159</v>
      </c>
    </row>
    <row r="72" spans="1:31" x14ac:dyDescent="0.2">
      <c r="A72" s="274">
        <v>0.35</v>
      </c>
      <c r="B72" s="253">
        <v>3</v>
      </c>
      <c r="C72" s="275">
        <v>0.35</v>
      </c>
      <c r="D72" s="658"/>
      <c r="E72" s="660" t="s">
        <v>352</v>
      </c>
      <c r="F72" s="660">
        <v>11</v>
      </c>
      <c r="G72" s="660">
        <v>11</v>
      </c>
      <c r="H72" s="660">
        <v>11</v>
      </c>
      <c r="I72" s="660">
        <v>10</v>
      </c>
      <c r="J72" s="660">
        <v>10</v>
      </c>
      <c r="K72" s="660">
        <v>10</v>
      </c>
      <c r="L72" s="660"/>
      <c r="M72" s="660"/>
      <c r="N72" s="660"/>
      <c r="AA72" s="648">
        <v>11013005</v>
      </c>
      <c r="AB72" s="460"/>
      <c r="AE72" s="254">
        <v>1160</v>
      </c>
    </row>
    <row r="73" spans="1:31" x14ac:dyDescent="0.2">
      <c r="A73" s="274">
        <v>0.4</v>
      </c>
      <c r="B73" s="253">
        <v>4</v>
      </c>
      <c r="C73" s="275">
        <v>0.4</v>
      </c>
      <c r="D73" s="658"/>
      <c r="E73" s="660" t="s">
        <v>354</v>
      </c>
      <c r="F73" s="660">
        <v>11</v>
      </c>
      <c r="G73" s="660">
        <v>11</v>
      </c>
      <c r="H73" s="660">
        <v>11</v>
      </c>
      <c r="I73" s="660">
        <v>10</v>
      </c>
      <c r="J73" s="660">
        <v>10</v>
      </c>
      <c r="K73" s="660">
        <v>10</v>
      </c>
      <c r="L73" s="660"/>
      <c r="M73" s="660"/>
      <c r="N73" s="660"/>
      <c r="AA73" s="648">
        <v>11013101</v>
      </c>
      <c r="AB73" s="460"/>
      <c r="AE73" s="254">
        <v>1161</v>
      </c>
    </row>
    <row r="74" spans="1:31" x14ac:dyDescent="0.2">
      <c r="A74" s="274">
        <v>0.45</v>
      </c>
      <c r="B74" s="253">
        <v>5</v>
      </c>
      <c r="C74" s="275">
        <v>0.45</v>
      </c>
      <c r="D74" s="658"/>
      <c r="E74" s="661"/>
      <c r="F74" s="661"/>
      <c r="G74" s="661"/>
      <c r="H74" s="661"/>
      <c r="I74" s="661"/>
      <c r="J74" s="661"/>
      <c r="K74" s="661"/>
      <c r="L74" s="661"/>
      <c r="M74" s="661"/>
      <c r="N74" s="661"/>
      <c r="AA74" s="648">
        <v>11013105</v>
      </c>
      <c r="AB74" s="460"/>
      <c r="AE74" s="254">
        <v>1162</v>
      </c>
    </row>
    <row r="75" spans="1:31" x14ac:dyDescent="0.2">
      <c r="A75" s="274">
        <v>0.5</v>
      </c>
      <c r="B75" s="253">
        <v>6</v>
      </c>
      <c r="C75" s="275">
        <v>0.5</v>
      </c>
      <c r="D75" s="658"/>
      <c r="E75" s="661"/>
      <c r="F75" s="661"/>
      <c r="G75" s="661"/>
      <c r="H75" s="661"/>
      <c r="I75" s="661"/>
      <c r="J75" s="661"/>
      <c r="K75" s="661"/>
      <c r="L75" s="661"/>
      <c r="M75" s="661"/>
      <c r="N75" s="661"/>
      <c r="AA75" s="648">
        <v>11013201</v>
      </c>
      <c r="AB75" s="460"/>
      <c r="AE75" s="254">
        <v>1163</v>
      </c>
    </row>
    <row r="76" spans="1:31" x14ac:dyDescent="0.25">
      <c r="A76" s="274">
        <v>0.55000000000000004</v>
      </c>
      <c r="B76" s="253">
        <v>7</v>
      </c>
      <c r="C76" s="275">
        <v>0.55000000000000004</v>
      </c>
      <c r="D76" s="658"/>
      <c r="E76" s="735" t="s">
        <v>640</v>
      </c>
      <c r="F76" s="736"/>
      <c r="G76" s="736"/>
      <c r="H76" s="736"/>
      <c r="I76" s="736"/>
      <c r="J76" s="736"/>
      <c r="K76" s="736"/>
      <c r="L76" s="736"/>
      <c r="M76" s="736"/>
      <c r="N76" s="737"/>
      <c r="AA76" s="648">
        <v>11013205</v>
      </c>
      <c r="AB76" s="460"/>
      <c r="AE76" s="254">
        <v>1164</v>
      </c>
    </row>
    <row r="77" spans="1:31" x14ac:dyDescent="0.2">
      <c r="A77" s="274">
        <v>0.6</v>
      </c>
      <c r="B77" s="253">
        <v>8</v>
      </c>
      <c r="C77" s="275">
        <v>0.6</v>
      </c>
      <c r="D77" s="655"/>
      <c r="E77" s="659"/>
      <c r="F77" s="659">
        <v>11</v>
      </c>
      <c r="G77" s="659">
        <v>12</v>
      </c>
      <c r="H77" s="659">
        <v>13</v>
      </c>
      <c r="I77" s="659">
        <v>21</v>
      </c>
      <c r="J77" s="659">
        <v>22</v>
      </c>
      <c r="K77" s="659">
        <v>23</v>
      </c>
      <c r="L77" s="659"/>
      <c r="M77" s="659"/>
      <c r="N77" s="659"/>
      <c r="AA77" s="648">
        <v>11014001</v>
      </c>
      <c r="AB77" s="460"/>
      <c r="AE77" s="254">
        <v>1165</v>
      </c>
    </row>
    <row r="78" spans="1:31" x14ac:dyDescent="0.2">
      <c r="A78" s="274">
        <v>0.65</v>
      </c>
      <c r="B78" s="253">
        <v>9</v>
      </c>
      <c r="C78" s="275">
        <v>0.65</v>
      </c>
      <c r="D78" s="655"/>
      <c r="E78" s="681" t="s">
        <v>32</v>
      </c>
      <c r="F78" s="682">
        <v>0.06</v>
      </c>
      <c r="G78" s="681">
        <v>0.08</v>
      </c>
      <c r="H78" s="681">
        <v>0.08</v>
      </c>
      <c r="I78" s="681">
        <v>0.04</v>
      </c>
      <c r="J78" s="681">
        <v>0.06</v>
      </c>
      <c r="K78" s="681">
        <v>0.06</v>
      </c>
      <c r="L78" s="660"/>
      <c r="M78" s="659"/>
      <c r="N78" s="659"/>
      <c r="AA78" s="648">
        <v>11014005</v>
      </c>
      <c r="AB78" s="460"/>
      <c r="AE78" s="254">
        <v>1166</v>
      </c>
    </row>
    <row r="79" spans="1:31" x14ac:dyDescent="0.2">
      <c r="A79" s="274">
        <v>0.7</v>
      </c>
      <c r="B79" s="253">
        <v>10</v>
      </c>
      <c r="C79" s="275">
        <v>0.7</v>
      </c>
      <c r="D79" s="655"/>
      <c r="E79" s="681" t="s">
        <v>33</v>
      </c>
      <c r="F79" s="682">
        <v>0.14000000000000001</v>
      </c>
      <c r="G79" s="681">
        <v>0.16</v>
      </c>
      <c r="H79" s="681">
        <v>0.18</v>
      </c>
      <c r="I79" s="681">
        <v>0.1</v>
      </c>
      <c r="J79" s="681">
        <v>0.12</v>
      </c>
      <c r="K79" s="681">
        <v>0.14000000000000001</v>
      </c>
      <c r="L79" s="660"/>
      <c r="M79" s="660"/>
      <c r="N79" s="660"/>
      <c r="AA79" s="648">
        <v>11014101</v>
      </c>
      <c r="AB79" s="460"/>
      <c r="AE79" s="254">
        <v>1167</v>
      </c>
    </row>
    <row r="80" spans="1:31" x14ac:dyDescent="0.2">
      <c r="A80" s="263" t="s">
        <v>385</v>
      </c>
      <c r="B80" s="253">
        <v>11</v>
      </c>
      <c r="C80" s="267">
        <v>0.1</v>
      </c>
      <c r="D80" s="655"/>
      <c r="E80" s="681" t="s">
        <v>653</v>
      </c>
      <c r="F80" s="682">
        <v>0.2</v>
      </c>
      <c r="G80" s="681">
        <v>0.28000000000000003</v>
      </c>
      <c r="H80" s="681">
        <v>0.36</v>
      </c>
      <c r="I80" s="681">
        <v>0.2</v>
      </c>
      <c r="J80" s="681">
        <v>0.24</v>
      </c>
      <c r="K80" s="681">
        <v>0.3</v>
      </c>
      <c r="L80" s="660"/>
      <c r="M80" s="660"/>
      <c r="N80" s="660"/>
      <c r="AA80" s="648">
        <v>11014105</v>
      </c>
      <c r="AB80" s="460"/>
      <c r="AE80" s="254">
        <v>1168</v>
      </c>
    </row>
    <row r="81" spans="1:31" x14ac:dyDescent="0.2">
      <c r="A81" s="252" t="s">
        <v>382</v>
      </c>
      <c r="B81" s="253">
        <v>12</v>
      </c>
      <c r="C81" s="267">
        <v>0.15</v>
      </c>
      <c r="E81" s="681" t="s">
        <v>654</v>
      </c>
      <c r="F81" s="682">
        <v>0.2</v>
      </c>
      <c r="G81" s="681">
        <v>0.28000000000000003</v>
      </c>
      <c r="H81" s="681">
        <v>0.36</v>
      </c>
      <c r="I81" s="681">
        <v>0.2</v>
      </c>
      <c r="J81" s="681">
        <v>0.24</v>
      </c>
      <c r="K81" s="681">
        <v>0.3</v>
      </c>
      <c r="L81" s="660"/>
      <c r="M81" s="660"/>
      <c r="N81" s="660"/>
      <c r="AA81" s="648">
        <v>11014201</v>
      </c>
      <c r="AB81" s="460"/>
      <c r="AE81" s="254">
        <v>1169</v>
      </c>
    </row>
    <row r="82" spans="1:31" x14ac:dyDescent="0.2">
      <c r="A82" s="252" t="s">
        <v>383</v>
      </c>
      <c r="B82" s="253">
        <v>13</v>
      </c>
      <c r="C82" s="267">
        <v>0.2</v>
      </c>
      <c r="E82" s="681" t="s">
        <v>35</v>
      </c>
      <c r="F82" s="682">
        <v>0.3</v>
      </c>
      <c r="G82" s="681">
        <v>0.44</v>
      </c>
      <c r="H82" s="681">
        <v>0.57999999999999996</v>
      </c>
      <c r="I82" s="681">
        <v>0.38</v>
      </c>
      <c r="J82" s="681">
        <v>0.42</v>
      </c>
      <c r="K82" s="681">
        <v>0.52</v>
      </c>
      <c r="L82" s="660"/>
      <c r="M82" s="660"/>
      <c r="N82" s="660"/>
      <c r="AA82" s="648">
        <v>11014205</v>
      </c>
      <c r="AB82" s="460"/>
      <c r="AE82" s="254">
        <v>1210</v>
      </c>
    </row>
    <row r="83" spans="1:31" x14ac:dyDescent="0.2">
      <c r="A83" s="257" t="s">
        <v>384</v>
      </c>
      <c r="B83" s="258">
        <v>14</v>
      </c>
      <c r="C83" s="267">
        <v>0.25</v>
      </c>
      <c r="E83" s="681" t="s">
        <v>655</v>
      </c>
      <c r="F83" s="682">
        <v>0.3</v>
      </c>
      <c r="G83" s="681">
        <v>0.44</v>
      </c>
      <c r="H83" s="681">
        <v>0.57999999999999996</v>
      </c>
      <c r="I83" s="681">
        <v>0.38</v>
      </c>
      <c r="J83" s="681">
        <v>0.42</v>
      </c>
      <c r="K83" s="681">
        <v>0.52</v>
      </c>
      <c r="L83" s="660"/>
      <c r="M83" s="660"/>
      <c r="N83" s="660"/>
      <c r="AA83" s="648">
        <v>11015001</v>
      </c>
      <c r="AB83" s="460"/>
      <c r="AE83" s="254">
        <v>1211</v>
      </c>
    </row>
    <row r="84" spans="1:31" x14ac:dyDescent="0.2">
      <c r="E84" s="681" t="s">
        <v>656</v>
      </c>
      <c r="F84" s="682">
        <v>0.3</v>
      </c>
      <c r="G84" s="681">
        <v>0.44</v>
      </c>
      <c r="H84" s="681">
        <v>0.57999999999999996</v>
      </c>
      <c r="I84" s="681">
        <v>0.38</v>
      </c>
      <c r="J84" s="681">
        <v>0.42</v>
      </c>
      <c r="K84" s="681">
        <v>0.52</v>
      </c>
      <c r="L84" s="660"/>
      <c r="M84" s="660"/>
      <c r="N84" s="660"/>
      <c r="AA84" s="648">
        <v>11015005</v>
      </c>
      <c r="AB84" s="460"/>
      <c r="AE84" s="254">
        <v>1212</v>
      </c>
    </row>
    <row r="85" spans="1:31" x14ac:dyDescent="0.2">
      <c r="A85" s="276"/>
      <c r="B85" s="277"/>
      <c r="E85" s="681" t="s">
        <v>354</v>
      </c>
      <c r="F85" s="681">
        <v>0</v>
      </c>
      <c r="G85" s="681">
        <v>0</v>
      </c>
      <c r="H85" s="681">
        <v>0</v>
      </c>
      <c r="I85" s="681">
        <v>0</v>
      </c>
      <c r="J85" s="681">
        <v>0</v>
      </c>
      <c r="K85" s="681">
        <v>0</v>
      </c>
      <c r="L85" s="660"/>
      <c r="M85" s="660"/>
      <c r="N85" s="660"/>
      <c r="AA85" s="648">
        <v>11015101</v>
      </c>
      <c r="AB85" s="460"/>
      <c r="AE85" s="254">
        <v>1213</v>
      </c>
    </row>
    <row r="86" spans="1:31" x14ac:dyDescent="0.2">
      <c r="AA86" s="648">
        <v>11015105</v>
      </c>
      <c r="AB86" s="460"/>
      <c r="AE86" s="254">
        <v>1214</v>
      </c>
    </row>
    <row r="87" spans="1:31" x14ac:dyDescent="0.2">
      <c r="AA87" s="648">
        <v>11015201</v>
      </c>
      <c r="AB87" s="460"/>
      <c r="AE87" s="254">
        <v>1215</v>
      </c>
    </row>
    <row r="88" spans="1:31" x14ac:dyDescent="0.2">
      <c r="E88" s="662" t="s">
        <v>641</v>
      </c>
      <c r="F88" s="661"/>
      <c r="AA88" s="648">
        <v>11015205</v>
      </c>
      <c r="AB88" s="460"/>
      <c r="AE88" s="254">
        <v>1216</v>
      </c>
    </row>
    <row r="89" spans="1:31" x14ac:dyDescent="0.2">
      <c r="E89" s="663">
        <v>1</v>
      </c>
      <c r="F89" s="661">
        <v>0.94</v>
      </c>
      <c r="AA89" s="456">
        <v>11016001</v>
      </c>
      <c r="AB89" s="460"/>
      <c r="AE89" s="254">
        <v>1217</v>
      </c>
    </row>
    <row r="90" spans="1:31" x14ac:dyDescent="0.2">
      <c r="E90" s="663">
        <v>44197</v>
      </c>
      <c r="F90" s="661">
        <v>0.96</v>
      </c>
      <c r="AA90" s="456">
        <v>11016005</v>
      </c>
      <c r="AB90" s="460"/>
      <c r="AE90" s="254">
        <v>1218</v>
      </c>
    </row>
    <row r="91" spans="1:31" x14ac:dyDescent="0.2">
      <c r="E91" s="661" t="s">
        <v>642</v>
      </c>
      <c r="F91" s="664">
        <f>VLOOKUP(Input!E14,Wertebereich!E89:F90,2)*100</f>
        <v>96</v>
      </c>
      <c r="AA91" s="456">
        <v>11016101</v>
      </c>
      <c r="AB91" s="460"/>
      <c r="AE91" s="254">
        <v>1219</v>
      </c>
    </row>
    <row r="92" spans="1:31" x14ac:dyDescent="0.2">
      <c r="AA92" s="456">
        <v>11016105</v>
      </c>
      <c r="AB92" s="460"/>
      <c r="AE92" s="254">
        <v>1220</v>
      </c>
    </row>
    <row r="93" spans="1:31" x14ac:dyDescent="0.2">
      <c r="AA93" s="456">
        <v>11016201</v>
      </c>
      <c r="AB93" s="460"/>
      <c r="AE93" s="254">
        <v>1221</v>
      </c>
    </row>
    <row r="94" spans="1:31" x14ac:dyDescent="0.2">
      <c r="AA94" s="456">
        <v>11016205</v>
      </c>
      <c r="AB94" s="460"/>
      <c r="AE94" s="254">
        <v>1222</v>
      </c>
    </row>
    <row r="95" spans="1:31" x14ac:dyDescent="0.2">
      <c r="AA95" s="456">
        <v>11017001</v>
      </c>
      <c r="AB95" s="460"/>
      <c r="AE95" s="254">
        <v>1223</v>
      </c>
    </row>
    <row r="96" spans="1:31" x14ac:dyDescent="0.2">
      <c r="AA96" s="456">
        <v>11017005</v>
      </c>
      <c r="AB96" s="460"/>
      <c r="AE96" s="254">
        <v>1224</v>
      </c>
    </row>
    <row r="97" spans="27:31" x14ac:dyDescent="0.2">
      <c r="AA97" s="456">
        <v>11017101</v>
      </c>
      <c r="AB97" s="460"/>
      <c r="AE97" s="254">
        <v>1225</v>
      </c>
    </row>
    <row r="98" spans="27:31" x14ac:dyDescent="0.2">
      <c r="AA98" s="456">
        <v>11017105</v>
      </c>
      <c r="AB98" s="460"/>
      <c r="AE98" s="254">
        <v>1226</v>
      </c>
    </row>
    <row r="99" spans="27:31" x14ac:dyDescent="0.2">
      <c r="AA99" s="456">
        <v>11017201</v>
      </c>
      <c r="AB99" s="460"/>
      <c r="AE99" s="254">
        <v>1227</v>
      </c>
    </row>
    <row r="100" spans="27:31" x14ac:dyDescent="0.2">
      <c r="AA100" s="456">
        <v>11017205</v>
      </c>
      <c r="AB100" s="460"/>
      <c r="AE100" s="254">
        <v>1228</v>
      </c>
    </row>
    <row r="101" spans="27:31" x14ac:dyDescent="0.2">
      <c r="AA101" s="456">
        <v>11018001</v>
      </c>
      <c r="AB101" s="460"/>
      <c r="AE101" s="254">
        <v>1229</v>
      </c>
    </row>
    <row r="102" spans="27:31" x14ac:dyDescent="0.2">
      <c r="AA102" s="456">
        <v>11018005</v>
      </c>
      <c r="AB102" s="460"/>
      <c r="AE102" s="254">
        <v>1250</v>
      </c>
    </row>
    <row r="103" spans="27:31" x14ac:dyDescent="0.2">
      <c r="AA103" s="456">
        <v>11018101</v>
      </c>
      <c r="AB103" s="460"/>
      <c r="AE103" s="254">
        <v>1251</v>
      </c>
    </row>
    <row r="104" spans="27:31" x14ac:dyDescent="0.2">
      <c r="AA104" s="456">
        <v>11018105</v>
      </c>
      <c r="AB104" s="460"/>
      <c r="AE104" s="254">
        <v>1252</v>
      </c>
    </row>
    <row r="105" spans="27:31" x14ac:dyDescent="0.2">
      <c r="AA105" s="456">
        <v>11018201</v>
      </c>
      <c r="AB105" s="460"/>
      <c r="AE105" s="254">
        <v>1253</v>
      </c>
    </row>
    <row r="106" spans="27:31" x14ac:dyDescent="0.2">
      <c r="AA106" s="456">
        <v>11018205</v>
      </c>
      <c r="AB106" s="460"/>
      <c r="AE106" s="254">
        <v>1254</v>
      </c>
    </row>
    <row r="107" spans="27:31" x14ac:dyDescent="0.2">
      <c r="AA107" s="456">
        <v>11019001</v>
      </c>
      <c r="AB107" s="460"/>
      <c r="AE107" s="254">
        <v>1255</v>
      </c>
    </row>
    <row r="108" spans="27:31" x14ac:dyDescent="0.2">
      <c r="AA108" s="456">
        <v>11019005</v>
      </c>
      <c r="AB108" s="460"/>
      <c r="AE108" s="254">
        <v>1256</v>
      </c>
    </row>
    <row r="109" spans="27:31" x14ac:dyDescent="0.2">
      <c r="AA109" s="456">
        <v>11019101</v>
      </c>
      <c r="AB109" s="460"/>
      <c r="AE109" s="254">
        <v>1257</v>
      </c>
    </row>
    <row r="110" spans="27:31" x14ac:dyDescent="0.2">
      <c r="AA110" s="456">
        <v>11019105</v>
      </c>
      <c r="AB110" s="460"/>
      <c r="AE110" s="254">
        <v>1258</v>
      </c>
    </row>
    <row r="111" spans="27:31" x14ac:dyDescent="0.2">
      <c r="AA111" s="456">
        <v>11019201</v>
      </c>
      <c r="AB111" s="460"/>
      <c r="AE111" s="254">
        <v>1259</v>
      </c>
    </row>
    <row r="112" spans="27:31" x14ac:dyDescent="0.2">
      <c r="AA112" s="456">
        <v>11019205</v>
      </c>
      <c r="AB112" s="460"/>
      <c r="AE112" s="254">
        <v>1260</v>
      </c>
    </row>
    <row r="113" spans="27:31" x14ac:dyDescent="0.2">
      <c r="AA113" s="456">
        <v>11021001</v>
      </c>
      <c r="AB113" s="460"/>
      <c r="AE113" s="254">
        <v>1261</v>
      </c>
    </row>
    <row r="114" spans="27:31" x14ac:dyDescent="0.2">
      <c r="AA114" s="456">
        <v>11021001</v>
      </c>
      <c r="AB114" s="460"/>
      <c r="AE114" s="254">
        <v>1262</v>
      </c>
    </row>
    <row r="115" spans="27:31" x14ac:dyDescent="0.2">
      <c r="AA115" s="456">
        <v>11021005</v>
      </c>
      <c r="AB115" s="460"/>
      <c r="AE115" s="254">
        <v>1263</v>
      </c>
    </row>
    <row r="116" spans="27:31" x14ac:dyDescent="0.2">
      <c r="AA116" s="456">
        <v>11021005</v>
      </c>
      <c r="AB116" s="460"/>
      <c r="AE116" s="254">
        <v>1264</v>
      </c>
    </row>
    <row r="117" spans="27:31" x14ac:dyDescent="0.2">
      <c r="AA117" s="648">
        <v>11101001</v>
      </c>
      <c r="AB117" s="460"/>
      <c r="AE117" s="254">
        <v>1265</v>
      </c>
    </row>
    <row r="118" spans="27:31" x14ac:dyDescent="0.2">
      <c r="AA118" s="648">
        <v>11101005</v>
      </c>
      <c r="AB118" s="460"/>
      <c r="AE118" s="254">
        <v>1266</v>
      </c>
    </row>
    <row r="119" spans="27:31" x14ac:dyDescent="0.2">
      <c r="AA119" s="648">
        <v>11101101</v>
      </c>
      <c r="AB119" s="460"/>
      <c r="AE119" s="254">
        <v>1267</v>
      </c>
    </row>
    <row r="120" spans="27:31" x14ac:dyDescent="0.2">
      <c r="AA120" s="648">
        <v>11101105</v>
      </c>
      <c r="AB120" s="460"/>
      <c r="AE120" s="254">
        <v>1268</v>
      </c>
    </row>
    <row r="121" spans="27:31" x14ac:dyDescent="0.2">
      <c r="AA121" s="648">
        <v>11101201</v>
      </c>
      <c r="AB121" s="460"/>
      <c r="AE121" s="254">
        <v>1269</v>
      </c>
    </row>
    <row r="122" spans="27:31" x14ac:dyDescent="0.2">
      <c r="AA122" s="648">
        <v>11101205</v>
      </c>
      <c r="AB122" s="460"/>
      <c r="AE122" s="254">
        <v>2010</v>
      </c>
    </row>
    <row r="123" spans="27:31" x14ac:dyDescent="0.2">
      <c r="AA123" s="648">
        <v>11102001</v>
      </c>
      <c r="AB123" s="460"/>
      <c r="AE123" s="254">
        <v>2011</v>
      </c>
    </row>
    <row r="124" spans="27:31" x14ac:dyDescent="0.2">
      <c r="AA124" s="648">
        <v>11102005</v>
      </c>
      <c r="AB124" s="460"/>
      <c r="AE124" s="254">
        <v>2012</v>
      </c>
    </row>
    <row r="125" spans="27:31" x14ac:dyDescent="0.2">
      <c r="AA125" s="648">
        <v>11102101</v>
      </c>
      <c r="AB125" s="460"/>
      <c r="AE125" s="254">
        <v>2013</v>
      </c>
    </row>
    <row r="126" spans="27:31" x14ac:dyDescent="0.2">
      <c r="AA126" s="648">
        <v>11102105</v>
      </c>
      <c r="AB126" s="460"/>
      <c r="AE126" s="254">
        <v>2014</v>
      </c>
    </row>
    <row r="127" spans="27:31" x14ac:dyDescent="0.2">
      <c r="AA127" s="648">
        <v>11102201</v>
      </c>
      <c r="AB127" s="460"/>
      <c r="AE127" s="254">
        <v>2015</v>
      </c>
    </row>
    <row r="128" spans="27:31" x14ac:dyDescent="0.2">
      <c r="AA128" s="648">
        <v>11102205</v>
      </c>
      <c r="AB128" s="460"/>
      <c r="AE128" s="254">
        <v>2016</v>
      </c>
    </row>
    <row r="129" spans="27:31" x14ac:dyDescent="0.2">
      <c r="AA129" s="648">
        <v>11103001</v>
      </c>
      <c r="AB129" s="460"/>
      <c r="AE129" s="254">
        <v>2017</v>
      </c>
    </row>
    <row r="130" spans="27:31" x14ac:dyDescent="0.2">
      <c r="AA130" s="648">
        <v>11103005</v>
      </c>
      <c r="AB130" s="460"/>
      <c r="AE130" s="254">
        <v>2018</v>
      </c>
    </row>
    <row r="131" spans="27:31" x14ac:dyDescent="0.2">
      <c r="AA131" s="648">
        <v>11103101</v>
      </c>
      <c r="AB131" s="460"/>
      <c r="AE131" s="254">
        <v>2019</v>
      </c>
    </row>
    <row r="132" spans="27:31" x14ac:dyDescent="0.2">
      <c r="AA132" s="648">
        <v>11103105</v>
      </c>
      <c r="AB132" s="460"/>
      <c r="AE132" s="254">
        <v>2020</v>
      </c>
    </row>
    <row r="133" spans="27:31" x14ac:dyDescent="0.2">
      <c r="AA133" s="648">
        <v>11103201</v>
      </c>
      <c r="AB133" s="460"/>
      <c r="AE133" s="254">
        <v>2021</v>
      </c>
    </row>
    <row r="134" spans="27:31" x14ac:dyDescent="0.2">
      <c r="AA134" s="648">
        <v>11103205</v>
      </c>
      <c r="AB134" s="460"/>
      <c r="AE134" s="254">
        <v>2022</v>
      </c>
    </row>
    <row r="135" spans="27:31" x14ac:dyDescent="0.2">
      <c r="AA135" s="648">
        <v>11104001</v>
      </c>
      <c r="AB135" s="460"/>
      <c r="AE135" s="254">
        <v>2023</v>
      </c>
    </row>
    <row r="136" spans="27:31" x14ac:dyDescent="0.2">
      <c r="AA136" s="648">
        <v>11104005</v>
      </c>
      <c r="AB136" s="460"/>
      <c r="AE136" s="254">
        <v>2024</v>
      </c>
    </row>
    <row r="137" spans="27:31" x14ac:dyDescent="0.2">
      <c r="AA137" s="648">
        <v>11104101</v>
      </c>
      <c r="AB137" s="460"/>
      <c r="AE137" s="254">
        <v>2025</v>
      </c>
    </row>
    <row r="138" spans="27:31" x14ac:dyDescent="0.2">
      <c r="AA138" s="648">
        <v>11104105</v>
      </c>
      <c r="AB138" s="460"/>
      <c r="AE138" s="254">
        <v>2026</v>
      </c>
    </row>
    <row r="139" spans="27:31" x14ac:dyDescent="0.2">
      <c r="AA139" s="648">
        <v>11104201</v>
      </c>
      <c r="AB139" s="460"/>
      <c r="AE139" s="254">
        <v>2027</v>
      </c>
    </row>
    <row r="140" spans="27:31" x14ac:dyDescent="0.2">
      <c r="AA140" s="648">
        <v>11104205</v>
      </c>
      <c r="AB140" s="460"/>
      <c r="AE140" s="254">
        <v>2028</v>
      </c>
    </row>
    <row r="141" spans="27:31" x14ac:dyDescent="0.2">
      <c r="AA141" s="648">
        <v>11105001</v>
      </c>
      <c r="AB141" s="460"/>
      <c r="AE141" s="254">
        <v>2029</v>
      </c>
    </row>
    <row r="142" spans="27:31" x14ac:dyDescent="0.2">
      <c r="AA142" s="648">
        <v>11105005</v>
      </c>
      <c r="AB142" s="460"/>
      <c r="AE142" s="254">
        <v>2050</v>
      </c>
    </row>
    <row r="143" spans="27:31" x14ac:dyDescent="0.2">
      <c r="AA143" s="648">
        <v>11105101</v>
      </c>
      <c r="AB143" s="460"/>
      <c r="AE143" s="254">
        <v>2051</v>
      </c>
    </row>
    <row r="144" spans="27:31" x14ac:dyDescent="0.2">
      <c r="AA144" s="648">
        <v>11105105</v>
      </c>
      <c r="AB144" s="460"/>
      <c r="AE144" s="254">
        <v>2052</v>
      </c>
    </row>
    <row r="145" spans="27:31" x14ac:dyDescent="0.2">
      <c r="AA145" s="648">
        <v>11105201</v>
      </c>
      <c r="AB145" s="460"/>
      <c r="AE145" s="254">
        <v>2053</v>
      </c>
    </row>
    <row r="146" spans="27:31" x14ac:dyDescent="0.2">
      <c r="AA146" s="648">
        <v>11105205</v>
      </c>
      <c r="AB146" s="460"/>
      <c r="AE146" s="254">
        <v>2054</v>
      </c>
    </row>
    <row r="147" spans="27:31" x14ac:dyDescent="0.2">
      <c r="AA147" s="456">
        <v>11106001</v>
      </c>
      <c r="AB147" s="460"/>
      <c r="AE147" s="254">
        <v>2055</v>
      </c>
    </row>
    <row r="148" spans="27:31" x14ac:dyDescent="0.2">
      <c r="AA148" s="456">
        <v>11106005</v>
      </c>
      <c r="AB148" s="460"/>
      <c r="AE148" s="254">
        <v>2056</v>
      </c>
    </row>
    <row r="149" spans="27:31" x14ac:dyDescent="0.2">
      <c r="AA149" s="456">
        <v>11106101</v>
      </c>
      <c r="AB149" s="460"/>
      <c r="AE149" s="254">
        <v>2057</v>
      </c>
    </row>
    <row r="150" spans="27:31" x14ac:dyDescent="0.2">
      <c r="AA150" s="456">
        <v>11106105</v>
      </c>
      <c r="AB150" s="460"/>
      <c r="AE150" s="254">
        <v>2058</v>
      </c>
    </row>
    <row r="151" spans="27:31" x14ac:dyDescent="0.2">
      <c r="AA151" s="456">
        <v>11106201</v>
      </c>
      <c r="AB151" s="460"/>
      <c r="AE151" s="254">
        <v>2059</v>
      </c>
    </row>
    <row r="152" spans="27:31" x14ac:dyDescent="0.2">
      <c r="AA152" s="456">
        <v>11106205</v>
      </c>
      <c r="AB152" s="460"/>
      <c r="AE152" s="254">
        <v>2060</v>
      </c>
    </row>
    <row r="153" spans="27:31" x14ac:dyDescent="0.2">
      <c r="AA153" s="456">
        <v>11107001</v>
      </c>
      <c r="AB153" s="460"/>
      <c r="AE153" s="254">
        <v>2061</v>
      </c>
    </row>
    <row r="154" spans="27:31" x14ac:dyDescent="0.2">
      <c r="AA154" s="456">
        <v>11107005</v>
      </c>
      <c r="AB154" s="460"/>
      <c r="AE154" s="254">
        <v>2062</v>
      </c>
    </row>
    <row r="155" spans="27:31" x14ac:dyDescent="0.2">
      <c r="AA155" s="456">
        <v>11107101</v>
      </c>
      <c r="AB155" s="460"/>
      <c r="AE155" s="254">
        <v>2063</v>
      </c>
    </row>
    <row r="156" spans="27:31" x14ac:dyDescent="0.2">
      <c r="AA156" s="456">
        <v>11107105</v>
      </c>
      <c r="AB156" s="460"/>
      <c r="AE156" s="254">
        <v>2064</v>
      </c>
    </row>
    <row r="157" spans="27:31" x14ac:dyDescent="0.2">
      <c r="AA157" s="456">
        <v>11107201</v>
      </c>
      <c r="AB157" s="460"/>
      <c r="AE157" s="254">
        <v>2065</v>
      </c>
    </row>
    <row r="158" spans="27:31" x14ac:dyDescent="0.2">
      <c r="AA158" s="456">
        <v>11107205</v>
      </c>
      <c r="AB158" s="460"/>
      <c r="AE158" s="254">
        <v>2066</v>
      </c>
    </row>
    <row r="159" spans="27:31" x14ac:dyDescent="0.2">
      <c r="AA159" s="456">
        <v>11108001</v>
      </c>
      <c r="AB159" s="460"/>
      <c r="AE159" s="254">
        <v>2067</v>
      </c>
    </row>
    <row r="160" spans="27:31" x14ac:dyDescent="0.2">
      <c r="AA160" s="456">
        <v>11108005</v>
      </c>
      <c r="AB160" s="460"/>
      <c r="AE160" s="254">
        <v>2068</v>
      </c>
    </row>
    <row r="161" spans="27:31" x14ac:dyDescent="0.2">
      <c r="AA161" s="456">
        <v>11108101</v>
      </c>
      <c r="AB161" s="460"/>
      <c r="AE161" s="254">
        <v>2069</v>
      </c>
    </row>
    <row r="162" spans="27:31" x14ac:dyDescent="0.2">
      <c r="AA162" s="456">
        <v>11108105</v>
      </c>
      <c r="AB162" s="460"/>
      <c r="AE162" s="254">
        <v>2110</v>
      </c>
    </row>
    <row r="163" spans="27:31" x14ac:dyDescent="0.2">
      <c r="AA163" s="456">
        <v>11108201</v>
      </c>
      <c r="AB163" s="460"/>
      <c r="AE163" s="254">
        <v>2111</v>
      </c>
    </row>
    <row r="164" spans="27:31" x14ac:dyDescent="0.2">
      <c r="AA164" s="456">
        <v>11108205</v>
      </c>
      <c r="AB164" s="460"/>
      <c r="AE164" s="254">
        <v>2112</v>
      </c>
    </row>
    <row r="165" spans="27:31" x14ac:dyDescent="0.2">
      <c r="AA165" s="456">
        <v>11109001</v>
      </c>
      <c r="AB165" s="460"/>
      <c r="AE165" s="254">
        <v>2113</v>
      </c>
    </row>
    <row r="166" spans="27:31" x14ac:dyDescent="0.2">
      <c r="AA166" s="456">
        <v>11109005</v>
      </c>
      <c r="AB166" s="460"/>
      <c r="AE166" s="254">
        <v>2114</v>
      </c>
    </row>
    <row r="167" spans="27:31" x14ac:dyDescent="0.2">
      <c r="AA167" s="456">
        <v>11109101</v>
      </c>
      <c r="AB167" s="460"/>
      <c r="AE167" s="254">
        <v>2115</v>
      </c>
    </row>
    <row r="168" spans="27:31" x14ac:dyDescent="0.2">
      <c r="AA168" s="456">
        <v>11109105</v>
      </c>
      <c r="AB168" s="460"/>
      <c r="AE168" s="254">
        <v>2116</v>
      </c>
    </row>
    <row r="169" spans="27:31" x14ac:dyDescent="0.2">
      <c r="AA169" s="456">
        <v>11109201</v>
      </c>
      <c r="AB169" s="460"/>
      <c r="AE169" s="254">
        <v>2117</v>
      </c>
    </row>
    <row r="170" spans="27:31" x14ac:dyDescent="0.2">
      <c r="AA170" s="456">
        <v>11109205</v>
      </c>
      <c r="AB170" s="460"/>
      <c r="AE170" s="254">
        <v>2118</v>
      </c>
    </row>
    <row r="171" spans="27:31" x14ac:dyDescent="0.2">
      <c r="AA171" s="456">
        <v>11111001</v>
      </c>
      <c r="AB171" s="460"/>
      <c r="AE171" s="254">
        <v>2119</v>
      </c>
    </row>
    <row r="172" spans="27:31" x14ac:dyDescent="0.2">
      <c r="AA172" s="456">
        <v>11111005</v>
      </c>
      <c r="AB172" s="460"/>
      <c r="AE172" s="254">
        <v>2120</v>
      </c>
    </row>
    <row r="173" spans="27:31" x14ac:dyDescent="0.2">
      <c r="AA173" s="648">
        <v>11111101</v>
      </c>
      <c r="AB173" s="460"/>
      <c r="AE173" s="254">
        <v>2121</v>
      </c>
    </row>
    <row r="174" spans="27:31" x14ac:dyDescent="0.2">
      <c r="AA174" s="648">
        <v>11111105</v>
      </c>
      <c r="AB174" s="460"/>
      <c r="AE174" s="254">
        <v>2122</v>
      </c>
    </row>
    <row r="175" spans="27:31" x14ac:dyDescent="0.2">
      <c r="AA175" s="648">
        <v>11111201</v>
      </c>
      <c r="AB175" s="460"/>
      <c r="AE175" s="254">
        <v>2123</v>
      </c>
    </row>
    <row r="176" spans="27:31" x14ac:dyDescent="0.2">
      <c r="AA176" s="648">
        <v>11111205</v>
      </c>
      <c r="AB176" s="460"/>
      <c r="AE176" s="254">
        <v>2124</v>
      </c>
    </row>
    <row r="177" spans="27:31" x14ac:dyDescent="0.2">
      <c r="AA177" s="648">
        <v>11112001</v>
      </c>
      <c r="AB177" s="460"/>
      <c r="AE177" s="254">
        <v>2125</v>
      </c>
    </row>
    <row r="178" spans="27:31" x14ac:dyDescent="0.2">
      <c r="AA178" s="648">
        <v>11112005</v>
      </c>
      <c r="AB178" s="460"/>
      <c r="AE178" s="254">
        <v>2126</v>
      </c>
    </row>
    <row r="179" spans="27:31" x14ac:dyDescent="0.2">
      <c r="AA179" s="648">
        <v>11112101</v>
      </c>
      <c r="AB179" s="460"/>
      <c r="AE179" s="254">
        <v>2127</v>
      </c>
    </row>
    <row r="180" spans="27:31" x14ac:dyDescent="0.2">
      <c r="AA180" s="648">
        <v>11112105</v>
      </c>
      <c r="AB180" s="460"/>
      <c r="AE180" s="254">
        <v>2128</v>
      </c>
    </row>
    <row r="181" spans="27:31" x14ac:dyDescent="0.2">
      <c r="AA181" s="648">
        <v>11112201</v>
      </c>
      <c r="AB181" s="460"/>
      <c r="AE181" s="254">
        <v>2129</v>
      </c>
    </row>
    <row r="182" spans="27:31" x14ac:dyDescent="0.2">
      <c r="AA182" s="648">
        <v>11112205</v>
      </c>
      <c r="AB182" s="460"/>
      <c r="AE182" s="254">
        <v>2150</v>
      </c>
    </row>
    <row r="183" spans="27:31" x14ac:dyDescent="0.2">
      <c r="AA183" s="648">
        <v>11113001</v>
      </c>
      <c r="AB183" s="460"/>
      <c r="AE183" s="254">
        <v>2151</v>
      </c>
    </row>
    <row r="184" spans="27:31" x14ac:dyDescent="0.2">
      <c r="AA184" s="648">
        <v>11113005</v>
      </c>
      <c r="AB184" s="460"/>
      <c r="AE184" s="254">
        <v>2152</v>
      </c>
    </row>
    <row r="185" spans="27:31" x14ac:dyDescent="0.2">
      <c r="AA185" s="648">
        <v>11113101</v>
      </c>
      <c r="AB185" s="460"/>
      <c r="AE185" s="254">
        <v>2153</v>
      </c>
    </row>
    <row r="186" spans="27:31" x14ac:dyDescent="0.2">
      <c r="AA186" s="648">
        <v>11113105</v>
      </c>
      <c r="AB186" s="460"/>
      <c r="AE186" s="254">
        <v>2154</v>
      </c>
    </row>
    <row r="187" spans="27:31" x14ac:dyDescent="0.2">
      <c r="AA187" s="648">
        <v>11113201</v>
      </c>
      <c r="AB187" s="460"/>
      <c r="AE187" s="254">
        <v>2155</v>
      </c>
    </row>
    <row r="188" spans="27:31" x14ac:dyDescent="0.2">
      <c r="AA188" s="648">
        <v>11113205</v>
      </c>
      <c r="AB188" s="460"/>
      <c r="AE188" s="254">
        <v>2156</v>
      </c>
    </row>
    <row r="189" spans="27:31" x14ac:dyDescent="0.2">
      <c r="AA189" s="648">
        <v>11114001</v>
      </c>
      <c r="AB189" s="460"/>
      <c r="AE189" s="254">
        <v>2157</v>
      </c>
    </row>
    <row r="190" spans="27:31" x14ac:dyDescent="0.2">
      <c r="AA190" s="648">
        <v>11114005</v>
      </c>
      <c r="AB190" s="460"/>
      <c r="AE190" s="254">
        <v>2158</v>
      </c>
    </row>
    <row r="191" spans="27:31" x14ac:dyDescent="0.2">
      <c r="AA191" s="648">
        <v>11114101</v>
      </c>
      <c r="AB191" s="460"/>
      <c r="AE191" s="254">
        <v>2159</v>
      </c>
    </row>
    <row r="192" spans="27:31" x14ac:dyDescent="0.2">
      <c r="AA192" s="648">
        <v>11114105</v>
      </c>
      <c r="AB192" s="460"/>
      <c r="AE192" s="254">
        <v>2160</v>
      </c>
    </row>
    <row r="193" spans="27:31" x14ac:dyDescent="0.2">
      <c r="AA193" s="648">
        <v>11114201</v>
      </c>
      <c r="AB193" s="460"/>
      <c r="AE193" s="254">
        <v>2161</v>
      </c>
    </row>
    <row r="194" spans="27:31" x14ac:dyDescent="0.2">
      <c r="AA194" s="648">
        <v>11114205</v>
      </c>
      <c r="AB194" s="460"/>
      <c r="AE194" s="254">
        <v>2162</v>
      </c>
    </row>
    <row r="195" spans="27:31" x14ac:dyDescent="0.2">
      <c r="AA195" s="648">
        <v>11115001</v>
      </c>
      <c r="AB195" s="460"/>
      <c r="AE195" s="254">
        <v>2163</v>
      </c>
    </row>
    <row r="196" spans="27:31" x14ac:dyDescent="0.2">
      <c r="AA196" s="648">
        <v>11115005</v>
      </c>
      <c r="AB196" s="460"/>
      <c r="AE196" s="254">
        <v>2164</v>
      </c>
    </row>
    <row r="197" spans="27:31" x14ac:dyDescent="0.2">
      <c r="AA197" s="648">
        <v>11115101</v>
      </c>
      <c r="AB197" s="460"/>
      <c r="AE197" s="254">
        <v>2165</v>
      </c>
    </row>
    <row r="198" spans="27:31" x14ac:dyDescent="0.2">
      <c r="AA198" s="648">
        <v>11115105</v>
      </c>
      <c r="AB198" s="460"/>
      <c r="AE198" s="254">
        <v>2166</v>
      </c>
    </row>
    <row r="199" spans="27:31" x14ac:dyDescent="0.2">
      <c r="AA199" s="648">
        <v>11115201</v>
      </c>
      <c r="AB199" s="460"/>
      <c r="AE199" s="254">
        <v>2167</v>
      </c>
    </row>
    <row r="200" spans="27:31" x14ac:dyDescent="0.2">
      <c r="AA200" s="648">
        <v>11115205</v>
      </c>
      <c r="AB200" s="460"/>
      <c r="AE200" s="254">
        <v>2168</v>
      </c>
    </row>
    <row r="201" spans="27:31" x14ac:dyDescent="0.2">
      <c r="AA201" s="456">
        <v>11116001</v>
      </c>
      <c r="AB201" s="460"/>
      <c r="AE201" s="254">
        <v>2169</v>
      </c>
    </row>
    <row r="202" spans="27:31" x14ac:dyDescent="0.2">
      <c r="AA202" s="456">
        <v>11116005</v>
      </c>
      <c r="AB202" s="460"/>
      <c r="AE202" s="254">
        <v>2210</v>
      </c>
    </row>
    <row r="203" spans="27:31" x14ac:dyDescent="0.2">
      <c r="AA203" s="456">
        <v>11116101</v>
      </c>
      <c r="AB203" s="460"/>
      <c r="AE203" s="254">
        <v>2211</v>
      </c>
    </row>
    <row r="204" spans="27:31" x14ac:dyDescent="0.2">
      <c r="AA204" s="456">
        <v>11116105</v>
      </c>
      <c r="AB204" s="460"/>
      <c r="AE204" s="254">
        <v>2212</v>
      </c>
    </row>
    <row r="205" spans="27:31" x14ac:dyDescent="0.2">
      <c r="AA205" s="456">
        <v>11116201</v>
      </c>
      <c r="AB205" s="460"/>
      <c r="AE205" s="254">
        <v>2213</v>
      </c>
    </row>
    <row r="206" spans="27:31" x14ac:dyDescent="0.2">
      <c r="AA206" s="456">
        <v>11116205</v>
      </c>
      <c r="AB206" s="460"/>
      <c r="AE206" s="254">
        <v>2214</v>
      </c>
    </row>
    <row r="207" spans="27:31" x14ac:dyDescent="0.2">
      <c r="AA207" s="456">
        <v>11117001</v>
      </c>
      <c r="AB207" s="460"/>
      <c r="AE207" s="254">
        <v>2215</v>
      </c>
    </row>
    <row r="208" spans="27:31" x14ac:dyDescent="0.2">
      <c r="AA208" s="456">
        <v>11117005</v>
      </c>
      <c r="AB208" s="460"/>
      <c r="AE208" s="254">
        <v>2216</v>
      </c>
    </row>
    <row r="209" spans="27:31" x14ac:dyDescent="0.2">
      <c r="AA209" s="456">
        <v>11117101</v>
      </c>
      <c r="AB209" s="460"/>
      <c r="AE209" s="254">
        <v>2217</v>
      </c>
    </row>
    <row r="210" spans="27:31" x14ac:dyDescent="0.2">
      <c r="AA210" s="456">
        <v>11117105</v>
      </c>
      <c r="AB210" s="460"/>
      <c r="AE210" s="254">
        <v>2218</v>
      </c>
    </row>
    <row r="211" spans="27:31" x14ac:dyDescent="0.2">
      <c r="AA211" s="456">
        <v>11117201</v>
      </c>
      <c r="AB211" s="460"/>
      <c r="AE211" s="254">
        <v>2219</v>
      </c>
    </row>
    <row r="212" spans="27:31" x14ac:dyDescent="0.2">
      <c r="AA212" s="456">
        <v>11117205</v>
      </c>
      <c r="AB212" s="460"/>
      <c r="AE212" s="254">
        <v>2220</v>
      </c>
    </row>
    <row r="213" spans="27:31" x14ac:dyDescent="0.2">
      <c r="AA213" s="456">
        <v>11118001</v>
      </c>
      <c r="AB213" s="460"/>
      <c r="AE213" s="254">
        <v>2221</v>
      </c>
    </row>
    <row r="214" spans="27:31" x14ac:dyDescent="0.2">
      <c r="AA214" s="456">
        <v>11118005</v>
      </c>
      <c r="AB214" s="460"/>
      <c r="AE214" s="254">
        <v>2222</v>
      </c>
    </row>
    <row r="215" spans="27:31" x14ac:dyDescent="0.2">
      <c r="AA215" s="456">
        <v>11118101</v>
      </c>
      <c r="AB215" s="460"/>
      <c r="AE215" s="254">
        <v>2223</v>
      </c>
    </row>
    <row r="216" spans="27:31" x14ac:dyDescent="0.2">
      <c r="AA216" s="456">
        <v>11118105</v>
      </c>
      <c r="AB216" s="460"/>
      <c r="AE216" s="254">
        <v>2224</v>
      </c>
    </row>
    <row r="217" spans="27:31" x14ac:dyDescent="0.2">
      <c r="AA217" s="456">
        <v>11118201</v>
      </c>
      <c r="AB217" s="460"/>
      <c r="AE217" s="254">
        <v>2225</v>
      </c>
    </row>
    <row r="218" spans="27:31" x14ac:dyDescent="0.2">
      <c r="AA218" s="456">
        <v>11118205</v>
      </c>
      <c r="AB218" s="460"/>
      <c r="AE218" s="254">
        <v>2226</v>
      </c>
    </row>
    <row r="219" spans="27:31" x14ac:dyDescent="0.2">
      <c r="AA219" s="456">
        <v>11119001</v>
      </c>
      <c r="AB219" s="460"/>
      <c r="AE219" s="254">
        <v>2227</v>
      </c>
    </row>
    <row r="220" spans="27:31" x14ac:dyDescent="0.2">
      <c r="AA220" s="456">
        <v>11119005</v>
      </c>
      <c r="AB220" s="460"/>
      <c r="AE220" s="254">
        <v>2228</v>
      </c>
    </row>
    <row r="221" spans="27:31" x14ac:dyDescent="0.2">
      <c r="AA221" s="456">
        <v>11119101</v>
      </c>
      <c r="AB221" s="460"/>
      <c r="AE221" s="254">
        <v>2229</v>
      </c>
    </row>
    <row r="222" spans="27:31" x14ac:dyDescent="0.2">
      <c r="AA222" s="456">
        <v>11119105</v>
      </c>
      <c r="AB222" s="460"/>
      <c r="AE222" s="254">
        <v>2250</v>
      </c>
    </row>
    <row r="223" spans="27:31" x14ac:dyDescent="0.2">
      <c r="AA223" s="456">
        <v>11119201</v>
      </c>
      <c r="AB223" s="460"/>
      <c r="AE223" s="254">
        <v>2251</v>
      </c>
    </row>
    <row r="224" spans="27:31" x14ac:dyDescent="0.2">
      <c r="AA224" s="456">
        <v>11119205</v>
      </c>
      <c r="AB224" s="460"/>
      <c r="AE224" s="254">
        <v>2252</v>
      </c>
    </row>
    <row r="225" spans="27:31" x14ac:dyDescent="0.2">
      <c r="AA225" s="648">
        <v>11201001</v>
      </c>
      <c r="AB225" s="460"/>
      <c r="AE225" s="254">
        <v>2253</v>
      </c>
    </row>
    <row r="226" spans="27:31" x14ac:dyDescent="0.2">
      <c r="AA226" s="648">
        <v>11201005</v>
      </c>
      <c r="AB226" s="460"/>
      <c r="AE226" s="254">
        <v>2254</v>
      </c>
    </row>
    <row r="227" spans="27:31" x14ac:dyDescent="0.2">
      <c r="AA227" s="648">
        <v>11201101</v>
      </c>
      <c r="AB227" s="460"/>
      <c r="AE227" s="254">
        <v>2255</v>
      </c>
    </row>
    <row r="228" spans="27:31" x14ac:dyDescent="0.2">
      <c r="AA228" s="648">
        <v>11201105</v>
      </c>
      <c r="AB228" s="460"/>
      <c r="AE228" s="254">
        <v>2256</v>
      </c>
    </row>
    <row r="229" spans="27:31" x14ac:dyDescent="0.2">
      <c r="AA229" s="648">
        <v>11201201</v>
      </c>
      <c r="AB229" s="460"/>
      <c r="AE229" s="254">
        <v>2257</v>
      </c>
    </row>
    <row r="230" spans="27:31" x14ac:dyDescent="0.2">
      <c r="AA230" s="648">
        <v>11201205</v>
      </c>
      <c r="AB230" s="460"/>
      <c r="AE230" s="254">
        <v>2258</v>
      </c>
    </row>
    <row r="231" spans="27:31" x14ac:dyDescent="0.2">
      <c r="AA231" s="648">
        <v>11202001</v>
      </c>
      <c r="AB231" s="460"/>
      <c r="AE231" s="254">
        <v>2259</v>
      </c>
    </row>
    <row r="232" spans="27:31" x14ac:dyDescent="0.2">
      <c r="AA232" s="648">
        <v>11202005</v>
      </c>
      <c r="AB232" s="460"/>
      <c r="AE232" s="254">
        <v>2260</v>
      </c>
    </row>
    <row r="233" spans="27:31" x14ac:dyDescent="0.2">
      <c r="AA233" s="648">
        <v>11202101</v>
      </c>
      <c r="AB233" s="460"/>
      <c r="AE233" s="254">
        <v>2261</v>
      </c>
    </row>
    <row r="234" spans="27:31" x14ac:dyDescent="0.2">
      <c r="AA234" s="648">
        <v>11202105</v>
      </c>
      <c r="AB234" s="460"/>
      <c r="AE234" s="254">
        <v>2262</v>
      </c>
    </row>
    <row r="235" spans="27:31" x14ac:dyDescent="0.2">
      <c r="AA235" s="648">
        <v>11202201</v>
      </c>
      <c r="AB235" s="460"/>
      <c r="AE235" s="254">
        <v>2263</v>
      </c>
    </row>
    <row r="236" spans="27:31" x14ac:dyDescent="0.2">
      <c r="AA236" s="648">
        <v>11202205</v>
      </c>
      <c r="AB236" s="460"/>
      <c r="AE236" s="254">
        <v>2264</v>
      </c>
    </row>
    <row r="237" spans="27:31" x14ac:dyDescent="0.2">
      <c r="AA237" s="648">
        <v>11203001</v>
      </c>
      <c r="AB237" s="460"/>
      <c r="AE237" s="254">
        <v>2265</v>
      </c>
    </row>
    <row r="238" spans="27:31" x14ac:dyDescent="0.2">
      <c r="AA238" s="648">
        <v>11203005</v>
      </c>
      <c r="AB238" s="460"/>
      <c r="AE238" s="254">
        <v>2266</v>
      </c>
    </row>
    <row r="239" spans="27:31" x14ac:dyDescent="0.2">
      <c r="AA239" s="648">
        <v>11203101</v>
      </c>
      <c r="AB239" s="460"/>
      <c r="AE239" s="254">
        <v>2267</v>
      </c>
    </row>
    <row r="240" spans="27:31" x14ac:dyDescent="0.2">
      <c r="AA240" s="648">
        <v>11203105</v>
      </c>
      <c r="AB240" s="460"/>
      <c r="AE240" s="254">
        <v>2268</v>
      </c>
    </row>
    <row r="241" spans="27:31" x14ac:dyDescent="0.2">
      <c r="AA241" s="648">
        <v>11203201</v>
      </c>
      <c r="AB241" s="460"/>
      <c r="AE241" s="254">
        <v>2269</v>
      </c>
    </row>
    <row r="242" spans="27:31" x14ac:dyDescent="0.2">
      <c r="AA242" s="648">
        <v>11203205</v>
      </c>
      <c r="AB242" s="460"/>
      <c r="AE242" s="254">
        <v>3010</v>
      </c>
    </row>
    <row r="243" spans="27:31" x14ac:dyDescent="0.2">
      <c r="AA243" s="648">
        <v>11204001</v>
      </c>
      <c r="AB243" s="460"/>
      <c r="AE243" s="254">
        <v>3011</v>
      </c>
    </row>
    <row r="244" spans="27:31" x14ac:dyDescent="0.2">
      <c r="AA244" s="648">
        <v>11204005</v>
      </c>
      <c r="AB244" s="460"/>
      <c r="AE244" s="254">
        <v>3012</v>
      </c>
    </row>
    <row r="245" spans="27:31" x14ac:dyDescent="0.2">
      <c r="AA245" s="648">
        <v>11204101</v>
      </c>
      <c r="AB245" s="460"/>
      <c r="AE245" s="254">
        <v>3013</v>
      </c>
    </row>
    <row r="246" spans="27:31" x14ac:dyDescent="0.2">
      <c r="AA246" s="648">
        <v>11204105</v>
      </c>
      <c r="AB246" s="460"/>
      <c r="AE246" s="254">
        <v>3014</v>
      </c>
    </row>
    <row r="247" spans="27:31" x14ac:dyDescent="0.2">
      <c r="AA247" s="648">
        <v>11204201</v>
      </c>
      <c r="AB247" s="460"/>
      <c r="AE247" s="254">
        <v>3015</v>
      </c>
    </row>
    <row r="248" spans="27:31" x14ac:dyDescent="0.2">
      <c r="AA248" s="648">
        <v>11204205</v>
      </c>
      <c r="AB248" s="460"/>
      <c r="AE248" s="254">
        <v>3016</v>
      </c>
    </row>
    <row r="249" spans="27:31" x14ac:dyDescent="0.2">
      <c r="AA249" s="648">
        <v>11205001</v>
      </c>
      <c r="AB249" s="460"/>
      <c r="AE249" s="254">
        <v>3017</v>
      </c>
    </row>
    <row r="250" spans="27:31" x14ac:dyDescent="0.2">
      <c r="AA250" s="648">
        <v>11205005</v>
      </c>
      <c r="AB250" s="460"/>
      <c r="AE250" s="254">
        <v>3018</v>
      </c>
    </row>
    <row r="251" spans="27:31" x14ac:dyDescent="0.2">
      <c r="AA251" s="648">
        <v>11205101</v>
      </c>
      <c r="AB251" s="460"/>
      <c r="AE251" s="254">
        <v>3019</v>
      </c>
    </row>
    <row r="252" spans="27:31" x14ac:dyDescent="0.2">
      <c r="AA252" s="648">
        <v>11205105</v>
      </c>
      <c r="AB252" s="460"/>
      <c r="AE252" s="254">
        <v>3020</v>
      </c>
    </row>
    <row r="253" spans="27:31" x14ac:dyDescent="0.2">
      <c r="AA253" s="648">
        <v>11205201</v>
      </c>
      <c r="AB253" s="460"/>
      <c r="AE253" s="254">
        <v>3021</v>
      </c>
    </row>
    <row r="254" spans="27:31" x14ac:dyDescent="0.2">
      <c r="AA254" s="648">
        <v>11205205</v>
      </c>
      <c r="AB254" s="460"/>
      <c r="AE254" s="254">
        <v>3022</v>
      </c>
    </row>
    <row r="255" spans="27:31" x14ac:dyDescent="0.2">
      <c r="AA255" s="456">
        <v>11206001</v>
      </c>
      <c r="AB255" s="460"/>
      <c r="AE255" s="254">
        <v>3023</v>
      </c>
    </row>
    <row r="256" spans="27:31" x14ac:dyDescent="0.2">
      <c r="AA256" s="456">
        <v>11206005</v>
      </c>
      <c r="AB256" s="460"/>
      <c r="AE256" s="254">
        <v>3024</v>
      </c>
    </row>
    <row r="257" spans="27:31" x14ac:dyDescent="0.2">
      <c r="AA257" s="456">
        <v>11206101</v>
      </c>
      <c r="AB257" s="460"/>
      <c r="AE257" s="254">
        <v>3025</v>
      </c>
    </row>
    <row r="258" spans="27:31" x14ac:dyDescent="0.2">
      <c r="AA258" s="456">
        <v>11206105</v>
      </c>
      <c r="AB258" s="460"/>
      <c r="AE258" s="254">
        <v>3026</v>
      </c>
    </row>
    <row r="259" spans="27:31" x14ac:dyDescent="0.2">
      <c r="AA259" s="456">
        <v>11206201</v>
      </c>
      <c r="AB259" s="460"/>
      <c r="AE259" s="254">
        <v>3027</v>
      </c>
    </row>
    <row r="260" spans="27:31" x14ac:dyDescent="0.2">
      <c r="AA260" s="456">
        <v>11206205</v>
      </c>
      <c r="AB260" s="460"/>
      <c r="AE260" s="254">
        <v>3028</v>
      </c>
    </row>
    <row r="261" spans="27:31" x14ac:dyDescent="0.2">
      <c r="AA261" s="456">
        <v>11207001</v>
      </c>
      <c r="AB261" s="460"/>
      <c r="AE261" s="254">
        <v>3029</v>
      </c>
    </row>
    <row r="262" spans="27:31" x14ac:dyDescent="0.2">
      <c r="AA262" s="456">
        <v>11207005</v>
      </c>
      <c r="AB262" s="460"/>
      <c r="AE262" s="254">
        <v>3050</v>
      </c>
    </row>
    <row r="263" spans="27:31" x14ac:dyDescent="0.2">
      <c r="AA263" s="456">
        <v>11207101</v>
      </c>
      <c r="AB263" s="460"/>
      <c r="AE263" s="254">
        <v>3051</v>
      </c>
    </row>
    <row r="264" spans="27:31" x14ac:dyDescent="0.2">
      <c r="AA264" s="456">
        <v>11207105</v>
      </c>
      <c r="AB264" s="460"/>
      <c r="AE264" s="254">
        <v>3052</v>
      </c>
    </row>
    <row r="265" spans="27:31" x14ac:dyDescent="0.2">
      <c r="AA265" s="456">
        <v>11207201</v>
      </c>
      <c r="AB265" s="460"/>
      <c r="AE265" s="254">
        <v>3053</v>
      </c>
    </row>
    <row r="266" spans="27:31" x14ac:dyDescent="0.2">
      <c r="AA266" s="456">
        <v>11207205</v>
      </c>
      <c r="AB266" s="460"/>
      <c r="AE266" s="254">
        <v>3054</v>
      </c>
    </row>
    <row r="267" spans="27:31" x14ac:dyDescent="0.2">
      <c r="AA267" s="456">
        <v>11208001</v>
      </c>
      <c r="AB267" s="460"/>
      <c r="AE267" s="254">
        <v>3055</v>
      </c>
    </row>
    <row r="268" spans="27:31" x14ac:dyDescent="0.2">
      <c r="AA268" s="456">
        <v>11208005</v>
      </c>
      <c r="AB268" s="460"/>
      <c r="AE268" s="254">
        <v>3056</v>
      </c>
    </row>
    <row r="269" spans="27:31" x14ac:dyDescent="0.2">
      <c r="AA269" s="456">
        <v>11208101</v>
      </c>
      <c r="AB269" s="460"/>
      <c r="AE269" s="254">
        <v>3057</v>
      </c>
    </row>
    <row r="270" spans="27:31" x14ac:dyDescent="0.2">
      <c r="AA270" s="456">
        <v>11208105</v>
      </c>
      <c r="AB270" s="460"/>
      <c r="AE270" s="254">
        <v>3058</v>
      </c>
    </row>
    <row r="271" spans="27:31" x14ac:dyDescent="0.2">
      <c r="AA271" s="456">
        <v>11208201</v>
      </c>
      <c r="AB271" s="460"/>
      <c r="AE271" s="254">
        <v>3059</v>
      </c>
    </row>
    <row r="272" spans="27:31" x14ac:dyDescent="0.2">
      <c r="AA272" s="456">
        <v>11208205</v>
      </c>
      <c r="AB272" s="460"/>
      <c r="AE272" s="254">
        <v>3060</v>
      </c>
    </row>
    <row r="273" spans="27:31" x14ac:dyDescent="0.2">
      <c r="AA273" s="456">
        <v>11209001</v>
      </c>
      <c r="AB273" s="460"/>
      <c r="AE273" s="254">
        <v>3061</v>
      </c>
    </row>
    <row r="274" spans="27:31" x14ac:dyDescent="0.2">
      <c r="AA274" s="456">
        <v>11209005</v>
      </c>
      <c r="AB274" s="460"/>
      <c r="AE274" s="254">
        <v>3062</v>
      </c>
    </row>
    <row r="275" spans="27:31" x14ac:dyDescent="0.2">
      <c r="AA275" s="456">
        <v>11209101</v>
      </c>
      <c r="AB275" s="460"/>
      <c r="AE275" s="254">
        <v>3063</v>
      </c>
    </row>
    <row r="276" spans="27:31" x14ac:dyDescent="0.2">
      <c r="AA276" s="456">
        <v>11209105</v>
      </c>
      <c r="AB276" s="460"/>
      <c r="AE276" s="254">
        <v>3064</v>
      </c>
    </row>
    <row r="277" spans="27:31" x14ac:dyDescent="0.2">
      <c r="AA277" s="456">
        <v>11209201</v>
      </c>
      <c r="AB277" s="460"/>
      <c r="AE277" s="254">
        <v>3065</v>
      </c>
    </row>
    <row r="278" spans="27:31" x14ac:dyDescent="0.2">
      <c r="AA278" s="456">
        <v>11209205</v>
      </c>
      <c r="AB278" s="460"/>
      <c r="AE278" s="254">
        <v>3066</v>
      </c>
    </row>
    <row r="279" spans="27:31" x14ac:dyDescent="0.2">
      <c r="AA279" s="456">
        <v>11211001</v>
      </c>
      <c r="AB279" s="460"/>
      <c r="AE279" s="254">
        <v>3067</v>
      </c>
    </row>
    <row r="280" spans="27:31" x14ac:dyDescent="0.2">
      <c r="AA280" s="456">
        <v>11211005</v>
      </c>
      <c r="AB280" s="460"/>
      <c r="AE280" s="254">
        <v>3068</v>
      </c>
    </row>
    <row r="281" spans="27:31" x14ac:dyDescent="0.2">
      <c r="AA281" s="648">
        <v>11211101</v>
      </c>
      <c r="AB281" s="460"/>
      <c r="AE281" s="254">
        <v>3069</v>
      </c>
    </row>
    <row r="282" spans="27:31" x14ac:dyDescent="0.2">
      <c r="AA282" s="648">
        <v>11211105</v>
      </c>
      <c r="AB282" s="460"/>
      <c r="AE282" s="254">
        <v>3110</v>
      </c>
    </row>
    <row r="283" spans="27:31" x14ac:dyDescent="0.2">
      <c r="AA283" s="648">
        <v>11211201</v>
      </c>
      <c r="AB283" s="460"/>
      <c r="AE283" s="254">
        <v>3111</v>
      </c>
    </row>
    <row r="284" spans="27:31" x14ac:dyDescent="0.2">
      <c r="AA284" s="648">
        <v>11211205</v>
      </c>
      <c r="AB284" s="460"/>
      <c r="AE284" s="254">
        <v>3112</v>
      </c>
    </row>
    <row r="285" spans="27:31" x14ac:dyDescent="0.2">
      <c r="AA285" s="648">
        <v>11212001</v>
      </c>
      <c r="AB285" s="460"/>
      <c r="AE285" s="254">
        <v>3113</v>
      </c>
    </row>
    <row r="286" spans="27:31" x14ac:dyDescent="0.2">
      <c r="AA286" s="648">
        <v>11212005</v>
      </c>
      <c r="AB286" s="460"/>
      <c r="AE286" s="254">
        <v>3114</v>
      </c>
    </row>
    <row r="287" spans="27:31" x14ac:dyDescent="0.2">
      <c r="AA287" s="648">
        <v>11212101</v>
      </c>
      <c r="AB287" s="460"/>
      <c r="AE287" s="254">
        <v>3115</v>
      </c>
    </row>
    <row r="288" spans="27:31" x14ac:dyDescent="0.2">
      <c r="AA288" s="648">
        <v>11212105</v>
      </c>
      <c r="AB288" s="460"/>
      <c r="AE288" s="254">
        <v>3116</v>
      </c>
    </row>
    <row r="289" spans="27:31" x14ac:dyDescent="0.2">
      <c r="AA289" s="648">
        <v>11212201</v>
      </c>
      <c r="AB289" s="460"/>
      <c r="AE289" s="254">
        <v>3117</v>
      </c>
    </row>
    <row r="290" spans="27:31" x14ac:dyDescent="0.2">
      <c r="AA290" s="648">
        <v>11212205</v>
      </c>
      <c r="AB290" s="460"/>
      <c r="AE290" s="254">
        <v>3118</v>
      </c>
    </row>
    <row r="291" spans="27:31" x14ac:dyDescent="0.2">
      <c r="AA291" s="648">
        <v>11213001</v>
      </c>
      <c r="AB291" s="460"/>
      <c r="AE291" s="254">
        <v>3119</v>
      </c>
    </row>
    <row r="292" spans="27:31" x14ac:dyDescent="0.2">
      <c r="AA292" s="648">
        <v>11213005</v>
      </c>
      <c r="AB292" s="460"/>
      <c r="AE292" s="254">
        <v>3120</v>
      </c>
    </row>
    <row r="293" spans="27:31" x14ac:dyDescent="0.2">
      <c r="AA293" s="648">
        <v>11213101</v>
      </c>
      <c r="AB293" s="460"/>
      <c r="AE293" s="254">
        <v>3121</v>
      </c>
    </row>
    <row r="294" spans="27:31" x14ac:dyDescent="0.2">
      <c r="AA294" s="648">
        <v>11213105</v>
      </c>
      <c r="AB294" s="460"/>
      <c r="AE294" s="254">
        <v>3122</v>
      </c>
    </row>
    <row r="295" spans="27:31" x14ac:dyDescent="0.2">
      <c r="AA295" s="648">
        <v>11213201</v>
      </c>
      <c r="AB295" s="460"/>
      <c r="AE295" s="254">
        <v>3123</v>
      </c>
    </row>
    <row r="296" spans="27:31" x14ac:dyDescent="0.2">
      <c r="AA296" s="648">
        <v>11213205</v>
      </c>
      <c r="AB296" s="460"/>
      <c r="AE296" s="254">
        <v>3124</v>
      </c>
    </row>
    <row r="297" spans="27:31" x14ac:dyDescent="0.2">
      <c r="AA297" s="648">
        <v>11214001</v>
      </c>
      <c r="AB297" s="460"/>
      <c r="AE297" s="254">
        <v>3125</v>
      </c>
    </row>
    <row r="298" spans="27:31" x14ac:dyDescent="0.2">
      <c r="AA298" s="648">
        <v>11214005</v>
      </c>
      <c r="AB298" s="460"/>
      <c r="AE298" s="254">
        <v>3126</v>
      </c>
    </row>
    <row r="299" spans="27:31" x14ac:dyDescent="0.2">
      <c r="AA299" s="648">
        <v>11214101</v>
      </c>
      <c r="AB299" s="460"/>
      <c r="AE299" s="254">
        <v>3127</v>
      </c>
    </row>
    <row r="300" spans="27:31" x14ac:dyDescent="0.2">
      <c r="AA300" s="648">
        <v>11214105</v>
      </c>
      <c r="AB300" s="460"/>
      <c r="AE300" s="254">
        <v>3128</v>
      </c>
    </row>
    <row r="301" spans="27:31" x14ac:dyDescent="0.2">
      <c r="AA301" s="648">
        <v>11214201</v>
      </c>
      <c r="AB301" s="460"/>
      <c r="AE301" s="254">
        <v>3129</v>
      </c>
    </row>
    <row r="302" spans="27:31" x14ac:dyDescent="0.2">
      <c r="AA302" s="648">
        <v>11214205</v>
      </c>
      <c r="AB302" s="460"/>
      <c r="AE302" s="254">
        <v>3150</v>
      </c>
    </row>
    <row r="303" spans="27:31" x14ac:dyDescent="0.2">
      <c r="AA303" s="648">
        <v>11215001</v>
      </c>
      <c r="AB303" s="460"/>
      <c r="AE303" s="254">
        <v>3151</v>
      </c>
    </row>
    <row r="304" spans="27:31" x14ac:dyDescent="0.2">
      <c r="AA304" s="648">
        <v>11215005</v>
      </c>
      <c r="AB304" s="460"/>
      <c r="AE304" s="254">
        <v>3152</v>
      </c>
    </row>
    <row r="305" spans="27:31" x14ac:dyDescent="0.2">
      <c r="AA305" s="648">
        <v>11215101</v>
      </c>
      <c r="AB305" s="460"/>
      <c r="AE305" s="254">
        <v>3153</v>
      </c>
    </row>
    <row r="306" spans="27:31" x14ac:dyDescent="0.2">
      <c r="AA306" s="648">
        <v>11215105</v>
      </c>
      <c r="AB306" s="460"/>
      <c r="AE306" s="254">
        <v>3154</v>
      </c>
    </row>
    <row r="307" spans="27:31" x14ac:dyDescent="0.2">
      <c r="AA307" s="648">
        <v>11215201</v>
      </c>
      <c r="AB307" s="460"/>
      <c r="AE307" s="254">
        <v>3155</v>
      </c>
    </row>
    <row r="308" spans="27:31" x14ac:dyDescent="0.2">
      <c r="AA308" s="648">
        <v>11215205</v>
      </c>
      <c r="AB308" s="460"/>
      <c r="AE308" s="254">
        <v>3156</v>
      </c>
    </row>
    <row r="309" spans="27:31" x14ac:dyDescent="0.2">
      <c r="AA309" s="456">
        <v>11216001</v>
      </c>
      <c r="AB309" s="460"/>
      <c r="AE309" s="254">
        <v>3157</v>
      </c>
    </row>
    <row r="310" spans="27:31" x14ac:dyDescent="0.2">
      <c r="AA310" s="456">
        <v>11216005</v>
      </c>
      <c r="AB310" s="460"/>
      <c r="AE310" s="254">
        <v>3158</v>
      </c>
    </row>
    <row r="311" spans="27:31" x14ac:dyDescent="0.2">
      <c r="AA311" s="456">
        <v>11216101</v>
      </c>
      <c r="AB311" s="460"/>
      <c r="AE311" s="254">
        <v>3159</v>
      </c>
    </row>
    <row r="312" spans="27:31" x14ac:dyDescent="0.2">
      <c r="AA312" s="456">
        <v>11216105</v>
      </c>
      <c r="AB312" s="460"/>
      <c r="AE312" s="254">
        <v>3160</v>
      </c>
    </row>
    <row r="313" spans="27:31" x14ac:dyDescent="0.2">
      <c r="AA313" s="456">
        <v>11216201</v>
      </c>
      <c r="AB313" s="460"/>
      <c r="AE313" s="254">
        <v>3161</v>
      </c>
    </row>
    <row r="314" spans="27:31" x14ac:dyDescent="0.2">
      <c r="AA314" s="456">
        <v>11216205</v>
      </c>
      <c r="AB314" s="460"/>
      <c r="AE314" s="254">
        <v>3162</v>
      </c>
    </row>
    <row r="315" spans="27:31" x14ac:dyDescent="0.2">
      <c r="AA315" s="456">
        <v>11217001</v>
      </c>
      <c r="AB315" s="460"/>
      <c r="AE315" s="254">
        <v>3163</v>
      </c>
    </row>
    <row r="316" spans="27:31" x14ac:dyDescent="0.2">
      <c r="AA316" s="456">
        <v>11217005</v>
      </c>
      <c r="AB316" s="460"/>
      <c r="AE316" s="254">
        <v>3164</v>
      </c>
    </row>
    <row r="317" spans="27:31" x14ac:dyDescent="0.2">
      <c r="AA317" s="456">
        <v>11217101</v>
      </c>
      <c r="AB317" s="460"/>
      <c r="AE317" s="254">
        <v>3165</v>
      </c>
    </row>
    <row r="318" spans="27:31" x14ac:dyDescent="0.2">
      <c r="AA318" s="456">
        <v>11217105</v>
      </c>
      <c r="AB318" s="460"/>
      <c r="AE318" s="254">
        <v>3166</v>
      </c>
    </row>
    <row r="319" spans="27:31" x14ac:dyDescent="0.2">
      <c r="AA319" s="456">
        <v>11217201</v>
      </c>
      <c r="AB319" s="460"/>
      <c r="AE319" s="254">
        <v>3167</v>
      </c>
    </row>
    <row r="320" spans="27:31" x14ac:dyDescent="0.2">
      <c r="AA320" s="456">
        <v>11217205</v>
      </c>
      <c r="AB320" s="460"/>
      <c r="AE320" s="254">
        <v>3168</v>
      </c>
    </row>
    <row r="321" spans="27:31" x14ac:dyDescent="0.2">
      <c r="AA321" s="456">
        <v>11218001</v>
      </c>
      <c r="AB321" s="460"/>
      <c r="AE321" s="254">
        <v>3169</v>
      </c>
    </row>
    <row r="322" spans="27:31" x14ac:dyDescent="0.2">
      <c r="AA322" s="456">
        <v>11218005</v>
      </c>
      <c r="AB322" s="460"/>
      <c r="AE322" s="254">
        <v>3210</v>
      </c>
    </row>
    <row r="323" spans="27:31" x14ac:dyDescent="0.2">
      <c r="AA323" s="456">
        <v>11218101</v>
      </c>
      <c r="AB323" s="460"/>
      <c r="AE323" s="254">
        <v>3211</v>
      </c>
    </row>
    <row r="324" spans="27:31" x14ac:dyDescent="0.2">
      <c r="AA324" s="456">
        <v>11218105</v>
      </c>
      <c r="AB324" s="460"/>
      <c r="AE324" s="254">
        <v>3212</v>
      </c>
    </row>
    <row r="325" spans="27:31" x14ac:dyDescent="0.2">
      <c r="AA325" s="456">
        <v>11218201</v>
      </c>
      <c r="AB325" s="460"/>
      <c r="AE325" s="254">
        <v>3213</v>
      </c>
    </row>
    <row r="326" spans="27:31" x14ac:dyDescent="0.2">
      <c r="AA326" s="456">
        <v>11218205</v>
      </c>
      <c r="AB326" s="460"/>
      <c r="AE326" s="254">
        <v>3214</v>
      </c>
    </row>
    <row r="327" spans="27:31" x14ac:dyDescent="0.2">
      <c r="AA327" s="456">
        <v>11219001</v>
      </c>
      <c r="AB327" s="460"/>
      <c r="AE327" s="254">
        <v>3215</v>
      </c>
    </row>
    <row r="328" spans="27:31" x14ac:dyDescent="0.2">
      <c r="AA328" s="456">
        <v>11219005</v>
      </c>
      <c r="AB328" s="460"/>
      <c r="AE328" s="254">
        <v>3216</v>
      </c>
    </row>
    <row r="329" spans="27:31" x14ac:dyDescent="0.2">
      <c r="AA329" s="456">
        <v>11219101</v>
      </c>
      <c r="AB329" s="460"/>
      <c r="AE329" s="254">
        <v>3217</v>
      </c>
    </row>
    <row r="330" spans="27:31" x14ac:dyDescent="0.2">
      <c r="AA330" s="456">
        <v>11219105</v>
      </c>
      <c r="AB330" s="460"/>
      <c r="AE330" s="254">
        <v>3218</v>
      </c>
    </row>
    <row r="331" spans="27:31" x14ac:dyDescent="0.2">
      <c r="AA331" s="456">
        <v>11219201</v>
      </c>
      <c r="AB331" s="460"/>
      <c r="AE331" s="254">
        <v>3219</v>
      </c>
    </row>
    <row r="332" spans="27:31" x14ac:dyDescent="0.2">
      <c r="AA332" s="456">
        <v>11219205</v>
      </c>
      <c r="AB332" s="460"/>
      <c r="AE332" s="254">
        <v>3220</v>
      </c>
    </row>
    <row r="333" spans="27:31" x14ac:dyDescent="0.2">
      <c r="AA333" s="648">
        <v>12001001</v>
      </c>
      <c r="AB333" s="460"/>
      <c r="AE333" s="254">
        <v>3221</v>
      </c>
    </row>
    <row r="334" spans="27:31" x14ac:dyDescent="0.2">
      <c r="AA334" s="648">
        <v>12001005</v>
      </c>
      <c r="AB334" s="460"/>
      <c r="AE334" s="254">
        <v>3222</v>
      </c>
    </row>
    <row r="335" spans="27:31" x14ac:dyDescent="0.2">
      <c r="AA335" s="648">
        <v>12001101</v>
      </c>
      <c r="AB335" s="460"/>
      <c r="AE335" s="254">
        <v>3223</v>
      </c>
    </row>
    <row r="336" spans="27:31" x14ac:dyDescent="0.2">
      <c r="AA336" s="648">
        <v>12001105</v>
      </c>
      <c r="AB336" s="460"/>
      <c r="AE336" s="254">
        <v>3224</v>
      </c>
    </row>
    <row r="337" spans="27:31" x14ac:dyDescent="0.2">
      <c r="AA337" s="648">
        <v>12001201</v>
      </c>
      <c r="AB337" s="460"/>
      <c r="AE337" s="254">
        <v>3225</v>
      </c>
    </row>
    <row r="338" spans="27:31" x14ac:dyDescent="0.2">
      <c r="AA338" s="648">
        <v>12001205</v>
      </c>
      <c r="AB338" s="460"/>
      <c r="AE338" s="254">
        <v>3226</v>
      </c>
    </row>
    <row r="339" spans="27:31" x14ac:dyDescent="0.2">
      <c r="AA339" s="648">
        <v>12002001</v>
      </c>
      <c r="AB339" s="460"/>
      <c r="AE339" s="254">
        <v>3227</v>
      </c>
    </row>
    <row r="340" spans="27:31" x14ac:dyDescent="0.2">
      <c r="AA340" s="648">
        <v>12002005</v>
      </c>
      <c r="AB340" s="460"/>
      <c r="AE340" s="254">
        <v>3228</v>
      </c>
    </row>
    <row r="341" spans="27:31" x14ac:dyDescent="0.2">
      <c r="AA341" s="648">
        <v>12002101</v>
      </c>
      <c r="AB341" s="460"/>
      <c r="AE341" s="254">
        <v>3229</v>
      </c>
    </row>
    <row r="342" spans="27:31" x14ac:dyDescent="0.2">
      <c r="AA342" s="648">
        <v>12002105</v>
      </c>
      <c r="AB342" s="460"/>
      <c r="AE342" s="254">
        <v>3250</v>
      </c>
    </row>
    <row r="343" spans="27:31" x14ac:dyDescent="0.2">
      <c r="AA343" s="648">
        <v>12002201</v>
      </c>
      <c r="AB343" s="460"/>
      <c r="AE343" s="254">
        <v>3251</v>
      </c>
    </row>
    <row r="344" spans="27:31" x14ac:dyDescent="0.2">
      <c r="AA344" s="648">
        <v>12002205</v>
      </c>
      <c r="AB344" s="460"/>
      <c r="AE344" s="254">
        <v>3252</v>
      </c>
    </row>
    <row r="345" spans="27:31" x14ac:dyDescent="0.2">
      <c r="AA345" s="648">
        <v>12003001</v>
      </c>
      <c r="AB345" s="460"/>
      <c r="AE345" s="254">
        <v>3253</v>
      </c>
    </row>
    <row r="346" spans="27:31" x14ac:dyDescent="0.2">
      <c r="AA346" s="648">
        <v>12003005</v>
      </c>
      <c r="AB346" s="460"/>
      <c r="AE346" s="254">
        <v>3254</v>
      </c>
    </row>
    <row r="347" spans="27:31" x14ac:dyDescent="0.2">
      <c r="AA347" s="648">
        <v>12003101</v>
      </c>
      <c r="AB347" s="460"/>
      <c r="AE347" s="254">
        <v>3255</v>
      </c>
    </row>
    <row r="348" spans="27:31" x14ac:dyDescent="0.2">
      <c r="AA348" s="648">
        <v>12003105</v>
      </c>
      <c r="AB348" s="460"/>
      <c r="AE348" s="254">
        <v>3256</v>
      </c>
    </row>
    <row r="349" spans="27:31" x14ac:dyDescent="0.2">
      <c r="AA349" s="648">
        <v>12003201</v>
      </c>
      <c r="AB349" s="460"/>
      <c r="AE349" s="254">
        <v>3257</v>
      </c>
    </row>
    <row r="350" spans="27:31" x14ac:dyDescent="0.2">
      <c r="AA350" s="648">
        <v>12003205</v>
      </c>
      <c r="AB350" s="460"/>
      <c r="AE350" s="254">
        <v>3258</v>
      </c>
    </row>
    <row r="351" spans="27:31" x14ac:dyDescent="0.2">
      <c r="AA351" s="648">
        <v>12004001</v>
      </c>
      <c r="AB351" s="460"/>
      <c r="AE351" s="254">
        <v>3259</v>
      </c>
    </row>
    <row r="352" spans="27:31" x14ac:dyDescent="0.2">
      <c r="AA352" s="648">
        <v>12004005</v>
      </c>
      <c r="AB352" s="460"/>
      <c r="AE352" s="254">
        <v>3260</v>
      </c>
    </row>
    <row r="353" spans="27:31" x14ac:dyDescent="0.2">
      <c r="AA353" s="648">
        <v>12004101</v>
      </c>
      <c r="AB353" s="460"/>
      <c r="AE353" s="254">
        <v>3261</v>
      </c>
    </row>
    <row r="354" spans="27:31" x14ac:dyDescent="0.2">
      <c r="AA354" s="648">
        <v>12004105</v>
      </c>
      <c r="AB354" s="460"/>
      <c r="AE354" s="254">
        <v>3262</v>
      </c>
    </row>
    <row r="355" spans="27:31" x14ac:dyDescent="0.2">
      <c r="AA355" s="648">
        <v>12004201</v>
      </c>
      <c r="AB355" s="460"/>
      <c r="AE355" s="254">
        <v>3263</v>
      </c>
    </row>
    <row r="356" spans="27:31" x14ac:dyDescent="0.2">
      <c r="AA356" s="648">
        <v>12004205</v>
      </c>
      <c r="AB356" s="460"/>
      <c r="AE356" s="254">
        <v>3264</v>
      </c>
    </row>
    <row r="357" spans="27:31" x14ac:dyDescent="0.2">
      <c r="AA357" s="648">
        <v>12005001</v>
      </c>
      <c r="AB357" s="460"/>
      <c r="AE357" s="254">
        <v>3265</v>
      </c>
    </row>
    <row r="358" spans="27:31" x14ac:dyDescent="0.2">
      <c r="AA358" s="648">
        <v>12005005</v>
      </c>
      <c r="AB358" s="460"/>
      <c r="AE358" s="254">
        <v>3266</v>
      </c>
    </row>
    <row r="359" spans="27:31" x14ac:dyDescent="0.2">
      <c r="AA359" s="648">
        <v>12005101</v>
      </c>
      <c r="AB359" s="460"/>
      <c r="AE359" s="254">
        <v>3267</v>
      </c>
    </row>
    <row r="360" spans="27:31" x14ac:dyDescent="0.2">
      <c r="AA360" s="648">
        <v>12005105</v>
      </c>
      <c r="AB360" s="460"/>
      <c r="AE360" s="254">
        <v>3268</v>
      </c>
    </row>
    <row r="361" spans="27:31" x14ac:dyDescent="0.2">
      <c r="AA361" s="648">
        <v>12005201</v>
      </c>
      <c r="AB361" s="460"/>
      <c r="AE361" s="254">
        <v>3269</v>
      </c>
    </row>
    <row r="362" spans="27:31" x14ac:dyDescent="0.2">
      <c r="AA362" s="648">
        <v>12005205</v>
      </c>
      <c r="AB362" s="460"/>
      <c r="AE362" s="254">
        <v>4010</v>
      </c>
    </row>
    <row r="363" spans="27:31" x14ac:dyDescent="0.2">
      <c r="AA363" s="456">
        <v>12006001</v>
      </c>
      <c r="AB363" s="460"/>
      <c r="AE363" s="254">
        <v>4011</v>
      </c>
    </row>
    <row r="364" spans="27:31" x14ac:dyDescent="0.2">
      <c r="AA364" s="456">
        <v>12006005</v>
      </c>
      <c r="AB364" s="460"/>
      <c r="AE364" s="254">
        <v>4012</v>
      </c>
    </row>
    <row r="365" spans="27:31" x14ac:dyDescent="0.2">
      <c r="AA365" s="456">
        <v>12006101</v>
      </c>
      <c r="AB365" s="460"/>
      <c r="AE365" s="254">
        <v>4013</v>
      </c>
    </row>
    <row r="366" spans="27:31" x14ac:dyDescent="0.2">
      <c r="AA366" s="456">
        <v>12006105</v>
      </c>
      <c r="AB366" s="460"/>
      <c r="AE366" s="254">
        <v>4014</v>
      </c>
    </row>
    <row r="367" spans="27:31" x14ac:dyDescent="0.2">
      <c r="AA367" s="456">
        <v>12006201</v>
      </c>
      <c r="AB367" s="460"/>
      <c r="AE367" s="254">
        <v>4015</v>
      </c>
    </row>
    <row r="368" spans="27:31" x14ac:dyDescent="0.2">
      <c r="AA368" s="456">
        <v>12006205</v>
      </c>
      <c r="AB368" s="460"/>
      <c r="AE368" s="254">
        <v>4016</v>
      </c>
    </row>
    <row r="369" spans="27:31" x14ac:dyDescent="0.2">
      <c r="AA369" s="456">
        <v>12007001</v>
      </c>
      <c r="AB369" s="460"/>
      <c r="AE369" s="254">
        <v>4017</v>
      </c>
    </row>
    <row r="370" spans="27:31" x14ac:dyDescent="0.2">
      <c r="AA370" s="456">
        <v>12007005</v>
      </c>
      <c r="AB370" s="460"/>
      <c r="AE370" s="254">
        <v>4018</v>
      </c>
    </row>
    <row r="371" spans="27:31" x14ac:dyDescent="0.2">
      <c r="AA371" s="456">
        <v>12007101</v>
      </c>
      <c r="AB371" s="460"/>
      <c r="AE371" s="254">
        <v>4019</v>
      </c>
    </row>
    <row r="372" spans="27:31" x14ac:dyDescent="0.2">
      <c r="AA372" s="456">
        <v>12007105</v>
      </c>
      <c r="AB372" s="460"/>
      <c r="AE372" s="254">
        <v>4020</v>
      </c>
    </row>
    <row r="373" spans="27:31" x14ac:dyDescent="0.2">
      <c r="AA373" s="456">
        <v>12007201</v>
      </c>
      <c r="AB373" s="460"/>
      <c r="AE373" s="254">
        <v>4021</v>
      </c>
    </row>
    <row r="374" spans="27:31" x14ac:dyDescent="0.2">
      <c r="AA374" s="456">
        <v>12007205</v>
      </c>
      <c r="AB374" s="460"/>
      <c r="AE374" s="254">
        <v>4022</v>
      </c>
    </row>
    <row r="375" spans="27:31" x14ac:dyDescent="0.2">
      <c r="AA375" s="456">
        <v>12008001</v>
      </c>
      <c r="AB375" s="460"/>
      <c r="AE375" s="254">
        <v>4023</v>
      </c>
    </row>
    <row r="376" spans="27:31" x14ac:dyDescent="0.2">
      <c r="AA376" s="456">
        <v>12008005</v>
      </c>
      <c r="AB376" s="460"/>
      <c r="AE376" s="254">
        <v>4024</v>
      </c>
    </row>
    <row r="377" spans="27:31" x14ac:dyDescent="0.2">
      <c r="AA377" s="456">
        <v>12008101</v>
      </c>
      <c r="AB377" s="460"/>
      <c r="AE377" s="254">
        <v>4025</v>
      </c>
    </row>
    <row r="378" spans="27:31" x14ac:dyDescent="0.2">
      <c r="AA378" s="456">
        <v>12008105</v>
      </c>
      <c r="AB378" s="460"/>
      <c r="AE378" s="254">
        <v>4026</v>
      </c>
    </row>
    <row r="379" spans="27:31" x14ac:dyDescent="0.2">
      <c r="AA379" s="456">
        <v>12008201</v>
      </c>
      <c r="AB379" s="460"/>
      <c r="AE379" s="254">
        <v>4027</v>
      </c>
    </row>
    <row r="380" spans="27:31" x14ac:dyDescent="0.2">
      <c r="AA380" s="456">
        <v>12008205</v>
      </c>
      <c r="AB380" s="460"/>
      <c r="AE380" s="254">
        <v>4028</v>
      </c>
    </row>
    <row r="381" spans="27:31" x14ac:dyDescent="0.2">
      <c r="AA381" s="456">
        <v>12009001</v>
      </c>
      <c r="AB381" s="460"/>
      <c r="AE381" s="254">
        <v>4029</v>
      </c>
    </row>
    <row r="382" spans="27:31" x14ac:dyDescent="0.2">
      <c r="AA382" s="456">
        <v>12009005</v>
      </c>
      <c r="AB382" s="460"/>
      <c r="AE382" s="254">
        <v>4050</v>
      </c>
    </row>
    <row r="383" spans="27:31" x14ac:dyDescent="0.2">
      <c r="AA383" s="456">
        <v>12009101</v>
      </c>
      <c r="AB383" s="460"/>
      <c r="AE383" s="254">
        <v>4051</v>
      </c>
    </row>
    <row r="384" spans="27:31" x14ac:dyDescent="0.2">
      <c r="AA384" s="456">
        <v>12009105</v>
      </c>
      <c r="AB384" s="460"/>
      <c r="AE384" s="254">
        <v>4052</v>
      </c>
    </row>
    <row r="385" spans="27:31" x14ac:dyDescent="0.2">
      <c r="AA385" s="456">
        <v>12009201</v>
      </c>
      <c r="AB385" s="460"/>
      <c r="AE385" s="254">
        <v>4053</v>
      </c>
    </row>
    <row r="386" spans="27:31" x14ac:dyDescent="0.2">
      <c r="AA386" s="456">
        <v>12009205</v>
      </c>
      <c r="AB386" s="460"/>
      <c r="AE386" s="254">
        <v>4054</v>
      </c>
    </row>
    <row r="387" spans="27:31" x14ac:dyDescent="0.2">
      <c r="AA387" s="456">
        <v>12011001</v>
      </c>
      <c r="AB387" s="460"/>
      <c r="AE387" s="254">
        <v>4055</v>
      </c>
    </row>
    <row r="388" spans="27:31" x14ac:dyDescent="0.2">
      <c r="AA388" s="456">
        <v>12011005</v>
      </c>
      <c r="AB388" s="460"/>
      <c r="AE388" s="254">
        <v>4056</v>
      </c>
    </row>
    <row r="389" spans="27:31" x14ac:dyDescent="0.2">
      <c r="AA389" s="648">
        <v>12011101</v>
      </c>
      <c r="AB389" s="460"/>
      <c r="AE389" s="254">
        <v>4057</v>
      </c>
    </row>
    <row r="390" spans="27:31" x14ac:dyDescent="0.2">
      <c r="AA390" s="648">
        <v>12011105</v>
      </c>
      <c r="AB390" s="460"/>
      <c r="AE390" s="254">
        <v>4058</v>
      </c>
    </row>
    <row r="391" spans="27:31" x14ac:dyDescent="0.2">
      <c r="AA391" s="648">
        <v>12011201</v>
      </c>
      <c r="AB391" s="460"/>
      <c r="AE391" s="254">
        <v>4059</v>
      </c>
    </row>
    <row r="392" spans="27:31" x14ac:dyDescent="0.2">
      <c r="AA392" s="648">
        <v>12011205</v>
      </c>
      <c r="AB392" s="460"/>
      <c r="AE392" s="254">
        <v>4060</v>
      </c>
    </row>
    <row r="393" spans="27:31" x14ac:dyDescent="0.2">
      <c r="AA393" s="648">
        <v>12012001</v>
      </c>
      <c r="AB393" s="460"/>
      <c r="AE393" s="254">
        <v>4061</v>
      </c>
    </row>
    <row r="394" spans="27:31" x14ac:dyDescent="0.2">
      <c r="AA394" s="648">
        <v>12012005</v>
      </c>
      <c r="AB394" s="460"/>
      <c r="AE394" s="254">
        <v>4062</v>
      </c>
    </row>
    <row r="395" spans="27:31" x14ac:dyDescent="0.2">
      <c r="AA395" s="648">
        <v>12012101</v>
      </c>
      <c r="AB395" s="460"/>
      <c r="AE395" s="254">
        <v>4063</v>
      </c>
    </row>
    <row r="396" spans="27:31" x14ac:dyDescent="0.2">
      <c r="AA396" s="648">
        <v>12012105</v>
      </c>
      <c r="AB396" s="460"/>
      <c r="AE396" s="254">
        <v>4064</v>
      </c>
    </row>
    <row r="397" spans="27:31" x14ac:dyDescent="0.2">
      <c r="AA397" s="648">
        <v>12012201</v>
      </c>
      <c r="AB397" s="460"/>
      <c r="AE397" s="254">
        <v>4065</v>
      </c>
    </row>
    <row r="398" spans="27:31" x14ac:dyDescent="0.2">
      <c r="AA398" s="648">
        <v>12012205</v>
      </c>
      <c r="AB398" s="460"/>
      <c r="AE398" s="254">
        <v>4066</v>
      </c>
    </row>
    <row r="399" spans="27:31" x14ac:dyDescent="0.2">
      <c r="AA399" s="648">
        <v>12013001</v>
      </c>
      <c r="AB399" s="460"/>
      <c r="AE399" s="254">
        <v>4067</v>
      </c>
    </row>
    <row r="400" spans="27:31" x14ac:dyDescent="0.2">
      <c r="AA400" s="648">
        <v>12013005</v>
      </c>
      <c r="AB400" s="460"/>
      <c r="AE400" s="254">
        <v>4068</v>
      </c>
    </row>
    <row r="401" spans="27:31" x14ac:dyDescent="0.2">
      <c r="AA401" s="648">
        <v>12013101</v>
      </c>
      <c r="AB401" s="460"/>
      <c r="AE401" s="254">
        <v>4069</v>
      </c>
    </row>
    <row r="402" spans="27:31" x14ac:dyDescent="0.2">
      <c r="AA402" s="648">
        <v>12013105</v>
      </c>
      <c r="AB402" s="460"/>
      <c r="AE402" s="254">
        <v>4110</v>
      </c>
    </row>
    <row r="403" spans="27:31" x14ac:dyDescent="0.2">
      <c r="AA403" s="648">
        <v>12013201</v>
      </c>
      <c r="AB403" s="460"/>
      <c r="AE403" s="254">
        <v>4111</v>
      </c>
    </row>
    <row r="404" spans="27:31" x14ac:dyDescent="0.2">
      <c r="AA404" s="648">
        <v>12013205</v>
      </c>
      <c r="AB404" s="460"/>
      <c r="AE404" s="254">
        <v>4112</v>
      </c>
    </row>
    <row r="405" spans="27:31" x14ac:dyDescent="0.2">
      <c r="AA405" s="648">
        <v>12014001</v>
      </c>
      <c r="AB405" s="460"/>
      <c r="AE405" s="254">
        <v>4113</v>
      </c>
    </row>
    <row r="406" spans="27:31" x14ac:dyDescent="0.2">
      <c r="AA406" s="648">
        <v>12014005</v>
      </c>
      <c r="AB406" s="460"/>
      <c r="AE406" s="254">
        <v>4114</v>
      </c>
    </row>
    <row r="407" spans="27:31" x14ac:dyDescent="0.2">
      <c r="AA407" s="648">
        <v>12014101</v>
      </c>
      <c r="AB407" s="460"/>
      <c r="AE407" s="254">
        <v>4115</v>
      </c>
    </row>
    <row r="408" spans="27:31" x14ac:dyDescent="0.2">
      <c r="AA408" s="648">
        <v>12014105</v>
      </c>
      <c r="AB408" s="460"/>
      <c r="AE408" s="254">
        <v>4116</v>
      </c>
    </row>
    <row r="409" spans="27:31" x14ac:dyDescent="0.2">
      <c r="AA409" s="648">
        <v>12014201</v>
      </c>
      <c r="AB409" s="460"/>
      <c r="AE409" s="254">
        <v>4117</v>
      </c>
    </row>
    <row r="410" spans="27:31" x14ac:dyDescent="0.2">
      <c r="AA410" s="648">
        <v>12014205</v>
      </c>
      <c r="AB410" s="460"/>
      <c r="AE410" s="254">
        <v>4118</v>
      </c>
    </row>
    <row r="411" spans="27:31" x14ac:dyDescent="0.2">
      <c r="AA411" s="648">
        <v>12015001</v>
      </c>
      <c r="AB411" s="460"/>
      <c r="AE411" s="254">
        <v>4119</v>
      </c>
    </row>
    <row r="412" spans="27:31" x14ac:dyDescent="0.2">
      <c r="AA412" s="648">
        <v>12015005</v>
      </c>
      <c r="AB412" s="460"/>
      <c r="AE412" s="254">
        <v>4120</v>
      </c>
    </row>
    <row r="413" spans="27:31" x14ac:dyDescent="0.2">
      <c r="AA413" s="648">
        <v>12015101</v>
      </c>
      <c r="AB413" s="460"/>
      <c r="AE413" s="254">
        <v>4121</v>
      </c>
    </row>
    <row r="414" spans="27:31" x14ac:dyDescent="0.2">
      <c r="AA414" s="648">
        <v>12015105</v>
      </c>
      <c r="AB414" s="460"/>
      <c r="AE414" s="254">
        <v>4122</v>
      </c>
    </row>
    <row r="415" spans="27:31" x14ac:dyDescent="0.2">
      <c r="AA415" s="648">
        <v>12015201</v>
      </c>
      <c r="AB415" s="460"/>
      <c r="AE415" s="254">
        <v>4123</v>
      </c>
    </row>
    <row r="416" spans="27:31" x14ac:dyDescent="0.2">
      <c r="AA416" s="648">
        <v>12015205</v>
      </c>
      <c r="AB416" s="460"/>
      <c r="AE416" s="254">
        <v>4124</v>
      </c>
    </row>
    <row r="417" spans="27:31" x14ac:dyDescent="0.2">
      <c r="AA417" s="456">
        <v>12016001</v>
      </c>
      <c r="AB417" s="460"/>
      <c r="AE417" s="254">
        <v>4125</v>
      </c>
    </row>
    <row r="418" spans="27:31" x14ac:dyDescent="0.2">
      <c r="AA418" s="456">
        <v>12016005</v>
      </c>
      <c r="AB418" s="460"/>
      <c r="AE418" s="254">
        <v>4126</v>
      </c>
    </row>
    <row r="419" spans="27:31" x14ac:dyDescent="0.2">
      <c r="AA419" s="456">
        <v>12016101</v>
      </c>
      <c r="AB419" s="460"/>
      <c r="AE419" s="254">
        <v>4127</v>
      </c>
    </row>
    <row r="420" spans="27:31" x14ac:dyDescent="0.2">
      <c r="AA420" s="456">
        <v>12016105</v>
      </c>
      <c r="AB420" s="460"/>
      <c r="AE420" s="254">
        <v>4128</v>
      </c>
    </row>
    <row r="421" spans="27:31" x14ac:dyDescent="0.2">
      <c r="AA421" s="456">
        <v>12016201</v>
      </c>
      <c r="AB421" s="460"/>
      <c r="AE421" s="254">
        <v>4129</v>
      </c>
    </row>
    <row r="422" spans="27:31" x14ac:dyDescent="0.2">
      <c r="AA422" s="456">
        <v>12016205</v>
      </c>
      <c r="AB422" s="460"/>
      <c r="AE422" s="254">
        <v>4150</v>
      </c>
    </row>
    <row r="423" spans="27:31" x14ac:dyDescent="0.2">
      <c r="AA423" s="456">
        <v>12017001</v>
      </c>
      <c r="AB423" s="460"/>
      <c r="AE423" s="254">
        <v>4151</v>
      </c>
    </row>
    <row r="424" spans="27:31" x14ac:dyDescent="0.2">
      <c r="AA424" s="456">
        <v>12017005</v>
      </c>
      <c r="AB424" s="460"/>
      <c r="AE424" s="254">
        <v>4152</v>
      </c>
    </row>
    <row r="425" spans="27:31" x14ac:dyDescent="0.2">
      <c r="AA425" s="456">
        <v>12017101</v>
      </c>
      <c r="AB425" s="460"/>
      <c r="AE425" s="254">
        <v>4153</v>
      </c>
    </row>
    <row r="426" spans="27:31" x14ac:dyDescent="0.2">
      <c r="AA426" s="456">
        <v>12017105</v>
      </c>
      <c r="AB426" s="460"/>
      <c r="AE426" s="254">
        <v>4154</v>
      </c>
    </row>
    <row r="427" spans="27:31" x14ac:dyDescent="0.2">
      <c r="AA427" s="456">
        <v>12017201</v>
      </c>
      <c r="AB427" s="460"/>
      <c r="AE427" s="254">
        <v>4155</v>
      </c>
    </row>
    <row r="428" spans="27:31" x14ac:dyDescent="0.2">
      <c r="AA428" s="456">
        <v>12017205</v>
      </c>
      <c r="AB428" s="460"/>
      <c r="AE428" s="254">
        <v>4156</v>
      </c>
    </row>
    <row r="429" spans="27:31" x14ac:dyDescent="0.2">
      <c r="AA429" s="456">
        <v>12018001</v>
      </c>
      <c r="AB429" s="460"/>
      <c r="AE429" s="254">
        <v>4157</v>
      </c>
    </row>
    <row r="430" spans="27:31" x14ac:dyDescent="0.2">
      <c r="AA430" s="456">
        <v>12018005</v>
      </c>
      <c r="AB430" s="460"/>
      <c r="AE430" s="254">
        <v>4158</v>
      </c>
    </row>
    <row r="431" spans="27:31" x14ac:dyDescent="0.2">
      <c r="AA431" s="456">
        <v>12018101</v>
      </c>
      <c r="AB431" s="460"/>
      <c r="AE431" s="254">
        <v>4159</v>
      </c>
    </row>
    <row r="432" spans="27:31" x14ac:dyDescent="0.2">
      <c r="AA432" s="456">
        <v>12018105</v>
      </c>
      <c r="AB432" s="460"/>
      <c r="AE432" s="254">
        <v>4160</v>
      </c>
    </row>
    <row r="433" spans="27:31" x14ac:dyDescent="0.2">
      <c r="AA433" s="456">
        <v>12018201</v>
      </c>
      <c r="AB433" s="460"/>
      <c r="AE433" s="254">
        <v>4161</v>
      </c>
    </row>
    <row r="434" spans="27:31" x14ac:dyDescent="0.2">
      <c r="AA434" s="456">
        <v>12018205</v>
      </c>
      <c r="AB434" s="460"/>
      <c r="AE434" s="254">
        <v>4162</v>
      </c>
    </row>
    <row r="435" spans="27:31" x14ac:dyDescent="0.2">
      <c r="AA435" s="456">
        <v>12019001</v>
      </c>
      <c r="AB435" s="460"/>
      <c r="AE435" s="254">
        <v>4163</v>
      </c>
    </row>
    <row r="436" spans="27:31" x14ac:dyDescent="0.2">
      <c r="AA436" s="456">
        <v>12019005</v>
      </c>
      <c r="AB436" s="460"/>
      <c r="AE436" s="254">
        <v>4164</v>
      </c>
    </row>
    <row r="437" spans="27:31" x14ac:dyDescent="0.2">
      <c r="AA437" s="456">
        <v>12019101</v>
      </c>
      <c r="AB437" s="460"/>
      <c r="AE437" s="254">
        <v>4165</v>
      </c>
    </row>
    <row r="438" spans="27:31" x14ac:dyDescent="0.2">
      <c r="AA438" s="456">
        <v>12019105</v>
      </c>
      <c r="AB438" s="460"/>
      <c r="AE438" s="254">
        <v>4166</v>
      </c>
    </row>
    <row r="439" spans="27:31" x14ac:dyDescent="0.2">
      <c r="AA439" s="456">
        <v>12019201</v>
      </c>
      <c r="AB439" s="460"/>
      <c r="AE439" s="254">
        <v>4167</v>
      </c>
    </row>
    <row r="440" spans="27:31" x14ac:dyDescent="0.2">
      <c r="AA440" s="456">
        <v>12019205</v>
      </c>
      <c r="AB440" s="460"/>
      <c r="AE440" s="254">
        <v>4168</v>
      </c>
    </row>
    <row r="441" spans="27:31" x14ac:dyDescent="0.2">
      <c r="AA441" s="648">
        <v>12101001</v>
      </c>
      <c r="AB441" s="460"/>
      <c r="AE441" s="254">
        <v>4169</v>
      </c>
    </row>
    <row r="442" spans="27:31" x14ac:dyDescent="0.2">
      <c r="AA442" s="648">
        <v>12101005</v>
      </c>
      <c r="AB442" s="460"/>
      <c r="AE442" s="254">
        <v>4210</v>
      </c>
    </row>
    <row r="443" spans="27:31" x14ac:dyDescent="0.2">
      <c r="AA443" s="648">
        <v>12101101</v>
      </c>
      <c r="AB443" s="460"/>
      <c r="AE443" s="254">
        <v>4211</v>
      </c>
    </row>
    <row r="444" spans="27:31" x14ac:dyDescent="0.2">
      <c r="AA444" s="648">
        <v>12101105</v>
      </c>
      <c r="AB444" s="460"/>
      <c r="AE444" s="254">
        <v>4212</v>
      </c>
    </row>
    <row r="445" spans="27:31" x14ac:dyDescent="0.2">
      <c r="AA445" s="648">
        <v>12101201</v>
      </c>
      <c r="AB445" s="460"/>
      <c r="AE445" s="254">
        <v>4213</v>
      </c>
    </row>
    <row r="446" spans="27:31" x14ac:dyDescent="0.2">
      <c r="AA446" s="648">
        <v>12101205</v>
      </c>
      <c r="AB446" s="460"/>
      <c r="AE446" s="254">
        <v>4214</v>
      </c>
    </row>
    <row r="447" spans="27:31" x14ac:dyDescent="0.2">
      <c r="AA447" s="648">
        <v>12102001</v>
      </c>
      <c r="AB447" s="460"/>
      <c r="AE447" s="254">
        <v>4215</v>
      </c>
    </row>
    <row r="448" spans="27:31" x14ac:dyDescent="0.2">
      <c r="AA448" s="648">
        <v>12102005</v>
      </c>
      <c r="AB448" s="460"/>
      <c r="AE448" s="254">
        <v>4216</v>
      </c>
    </row>
    <row r="449" spans="27:31" x14ac:dyDescent="0.2">
      <c r="AA449" s="648">
        <v>12102101</v>
      </c>
      <c r="AB449" s="460"/>
      <c r="AE449" s="254">
        <v>4217</v>
      </c>
    </row>
    <row r="450" spans="27:31" x14ac:dyDescent="0.2">
      <c r="AA450" s="648">
        <v>12102105</v>
      </c>
      <c r="AB450" s="460"/>
      <c r="AE450" s="254">
        <v>4218</v>
      </c>
    </row>
    <row r="451" spans="27:31" x14ac:dyDescent="0.2">
      <c r="AA451" s="648">
        <v>12102201</v>
      </c>
      <c r="AB451" s="460"/>
      <c r="AE451" s="254">
        <v>4219</v>
      </c>
    </row>
    <row r="452" spans="27:31" x14ac:dyDescent="0.2">
      <c r="AA452" s="648">
        <v>12102205</v>
      </c>
      <c r="AB452" s="460"/>
      <c r="AE452" s="254">
        <v>4220</v>
      </c>
    </row>
    <row r="453" spans="27:31" x14ac:dyDescent="0.2">
      <c r="AA453" s="648">
        <v>12103001</v>
      </c>
      <c r="AB453" s="460"/>
      <c r="AE453" s="254">
        <v>4221</v>
      </c>
    </row>
    <row r="454" spans="27:31" x14ac:dyDescent="0.2">
      <c r="AA454" s="648">
        <v>12103005</v>
      </c>
      <c r="AB454" s="460"/>
      <c r="AE454" s="254">
        <v>4222</v>
      </c>
    </row>
    <row r="455" spans="27:31" x14ac:dyDescent="0.2">
      <c r="AA455" s="648">
        <v>12103101</v>
      </c>
      <c r="AB455" s="460"/>
      <c r="AE455" s="254">
        <v>4223</v>
      </c>
    </row>
    <row r="456" spans="27:31" x14ac:dyDescent="0.2">
      <c r="AA456" s="648">
        <v>12103105</v>
      </c>
      <c r="AB456" s="460"/>
      <c r="AE456" s="254">
        <v>4224</v>
      </c>
    </row>
    <row r="457" spans="27:31" x14ac:dyDescent="0.2">
      <c r="AA457" s="648">
        <v>12103201</v>
      </c>
      <c r="AB457" s="460"/>
      <c r="AE457" s="254">
        <v>4225</v>
      </c>
    </row>
    <row r="458" spans="27:31" x14ac:dyDescent="0.2">
      <c r="AA458" s="648">
        <v>12103205</v>
      </c>
      <c r="AB458" s="460"/>
      <c r="AE458" s="254">
        <v>4226</v>
      </c>
    </row>
    <row r="459" spans="27:31" x14ac:dyDescent="0.2">
      <c r="AA459" s="648">
        <v>12104001</v>
      </c>
      <c r="AB459" s="460"/>
      <c r="AE459" s="254">
        <v>4227</v>
      </c>
    </row>
    <row r="460" spans="27:31" x14ac:dyDescent="0.2">
      <c r="AA460" s="648">
        <v>12104005</v>
      </c>
      <c r="AB460" s="460"/>
      <c r="AE460" s="254">
        <v>4228</v>
      </c>
    </row>
    <row r="461" spans="27:31" x14ac:dyDescent="0.2">
      <c r="AA461" s="648">
        <v>12104101</v>
      </c>
      <c r="AB461" s="460"/>
      <c r="AE461" s="254">
        <v>4229</v>
      </c>
    </row>
    <row r="462" spans="27:31" x14ac:dyDescent="0.2">
      <c r="AA462" s="648">
        <v>12104105</v>
      </c>
      <c r="AB462" s="460"/>
      <c r="AE462" s="254">
        <v>4250</v>
      </c>
    </row>
    <row r="463" spans="27:31" x14ac:dyDescent="0.2">
      <c r="AA463" s="648">
        <v>12104201</v>
      </c>
      <c r="AB463" s="460"/>
      <c r="AE463" s="254">
        <v>4251</v>
      </c>
    </row>
    <row r="464" spans="27:31" x14ac:dyDescent="0.2">
      <c r="AA464" s="648">
        <v>12104205</v>
      </c>
      <c r="AB464" s="460"/>
      <c r="AE464" s="254">
        <v>4252</v>
      </c>
    </row>
    <row r="465" spans="27:31" x14ac:dyDescent="0.2">
      <c r="AA465" s="648">
        <v>12105001</v>
      </c>
      <c r="AB465" s="460"/>
      <c r="AE465" s="254">
        <v>4253</v>
      </c>
    </row>
    <row r="466" spans="27:31" x14ac:dyDescent="0.2">
      <c r="AA466" s="648">
        <v>12105005</v>
      </c>
      <c r="AB466" s="460"/>
      <c r="AE466" s="254">
        <v>4254</v>
      </c>
    </row>
    <row r="467" spans="27:31" x14ac:dyDescent="0.2">
      <c r="AA467" s="648">
        <v>12105101</v>
      </c>
      <c r="AB467" s="460"/>
      <c r="AE467" s="254">
        <v>4255</v>
      </c>
    </row>
    <row r="468" spans="27:31" x14ac:dyDescent="0.2">
      <c r="AA468" s="648">
        <v>12105105</v>
      </c>
      <c r="AB468" s="460"/>
      <c r="AE468" s="254">
        <v>4256</v>
      </c>
    </row>
    <row r="469" spans="27:31" x14ac:dyDescent="0.2">
      <c r="AA469" s="648">
        <v>12105201</v>
      </c>
      <c r="AB469" s="460"/>
      <c r="AE469" s="254">
        <v>4257</v>
      </c>
    </row>
    <row r="470" spans="27:31" x14ac:dyDescent="0.2">
      <c r="AA470" s="648">
        <v>12105205</v>
      </c>
      <c r="AB470" s="460"/>
      <c r="AE470" s="254">
        <v>4258</v>
      </c>
    </row>
    <row r="471" spans="27:31" x14ac:dyDescent="0.2">
      <c r="AA471" s="456">
        <v>12106001</v>
      </c>
      <c r="AB471" s="460"/>
      <c r="AE471" s="254">
        <v>4259</v>
      </c>
    </row>
    <row r="472" spans="27:31" x14ac:dyDescent="0.2">
      <c r="AA472" s="456">
        <v>12106005</v>
      </c>
      <c r="AB472" s="460"/>
      <c r="AE472" s="254">
        <v>4260</v>
      </c>
    </row>
    <row r="473" spans="27:31" x14ac:dyDescent="0.2">
      <c r="AA473" s="456">
        <v>12106101</v>
      </c>
      <c r="AB473" s="460"/>
      <c r="AE473" s="254">
        <v>4261</v>
      </c>
    </row>
    <row r="474" spans="27:31" x14ac:dyDescent="0.2">
      <c r="AA474" s="456">
        <v>12106105</v>
      </c>
      <c r="AB474" s="460"/>
      <c r="AE474" s="254">
        <v>4262</v>
      </c>
    </row>
    <row r="475" spans="27:31" x14ac:dyDescent="0.2">
      <c r="AA475" s="456">
        <v>12106201</v>
      </c>
      <c r="AB475" s="460"/>
      <c r="AE475" s="254">
        <v>4263</v>
      </c>
    </row>
    <row r="476" spans="27:31" x14ac:dyDescent="0.2">
      <c r="AA476" s="456">
        <v>12106205</v>
      </c>
      <c r="AB476" s="460"/>
      <c r="AE476" s="254">
        <v>4264</v>
      </c>
    </row>
    <row r="477" spans="27:31" x14ac:dyDescent="0.2">
      <c r="AA477" s="456">
        <v>12107001</v>
      </c>
      <c r="AB477" s="460"/>
      <c r="AE477" s="254">
        <v>4265</v>
      </c>
    </row>
    <row r="478" spans="27:31" x14ac:dyDescent="0.2">
      <c r="AA478" s="456">
        <v>12107005</v>
      </c>
      <c r="AB478" s="460"/>
      <c r="AE478" s="254">
        <v>4266</v>
      </c>
    </row>
    <row r="479" spans="27:31" x14ac:dyDescent="0.2">
      <c r="AA479" s="456">
        <v>12107101</v>
      </c>
      <c r="AB479" s="460"/>
      <c r="AE479" s="254">
        <v>4267</v>
      </c>
    </row>
    <row r="480" spans="27:31" x14ac:dyDescent="0.2">
      <c r="AA480" s="456">
        <v>12107105</v>
      </c>
      <c r="AB480" s="460"/>
      <c r="AE480" s="254">
        <v>4268</v>
      </c>
    </row>
    <row r="481" spans="27:31" x14ac:dyDescent="0.2">
      <c r="AA481" s="456">
        <v>12107201</v>
      </c>
      <c r="AB481" s="460"/>
      <c r="AE481" s="254">
        <v>4269</v>
      </c>
    </row>
    <row r="482" spans="27:31" x14ac:dyDescent="0.2">
      <c r="AA482" s="456">
        <v>12107205</v>
      </c>
      <c r="AB482" s="460"/>
      <c r="AE482" s="254">
        <v>5010</v>
      </c>
    </row>
    <row r="483" spans="27:31" x14ac:dyDescent="0.2">
      <c r="AA483" s="456">
        <v>12108001</v>
      </c>
      <c r="AB483" s="460"/>
      <c r="AE483" s="254">
        <v>5011</v>
      </c>
    </row>
    <row r="484" spans="27:31" x14ac:dyDescent="0.2">
      <c r="AA484" s="456">
        <v>12108005</v>
      </c>
      <c r="AB484" s="460"/>
      <c r="AE484" s="254">
        <v>5012</v>
      </c>
    </row>
    <row r="485" spans="27:31" x14ac:dyDescent="0.2">
      <c r="AA485" s="456">
        <v>12108101</v>
      </c>
      <c r="AB485" s="460"/>
      <c r="AE485" s="254">
        <v>5013</v>
      </c>
    </row>
    <row r="486" spans="27:31" x14ac:dyDescent="0.2">
      <c r="AA486" s="456">
        <v>12108105</v>
      </c>
      <c r="AB486" s="460"/>
      <c r="AE486" s="254">
        <v>5014</v>
      </c>
    </row>
    <row r="487" spans="27:31" x14ac:dyDescent="0.2">
      <c r="AA487" s="456">
        <v>12108201</v>
      </c>
      <c r="AB487" s="460"/>
      <c r="AE487" s="254">
        <v>5015</v>
      </c>
    </row>
    <row r="488" spans="27:31" x14ac:dyDescent="0.2">
      <c r="AA488" s="456">
        <v>12108205</v>
      </c>
      <c r="AB488" s="460"/>
      <c r="AE488" s="254">
        <v>5016</v>
      </c>
    </row>
    <row r="489" spans="27:31" x14ac:dyDescent="0.2">
      <c r="AA489" s="456">
        <v>12109001</v>
      </c>
      <c r="AB489" s="460"/>
      <c r="AE489" s="254">
        <v>5017</v>
      </c>
    </row>
    <row r="490" spans="27:31" x14ac:dyDescent="0.2">
      <c r="AA490" s="456">
        <v>12109005</v>
      </c>
      <c r="AB490" s="460"/>
      <c r="AE490" s="254">
        <v>5018</v>
      </c>
    </row>
    <row r="491" spans="27:31" x14ac:dyDescent="0.2">
      <c r="AA491" s="456">
        <v>12109101</v>
      </c>
      <c r="AB491" s="460"/>
      <c r="AE491" s="254">
        <v>5019</v>
      </c>
    </row>
    <row r="492" spans="27:31" x14ac:dyDescent="0.2">
      <c r="AA492" s="456">
        <v>12109105</v>
      </c>
      <c r="AB492" s="460"/>
      <c r="AE492" s="254">
        <v>5020</v>
      </c>
    </row>
    <row r="493" spans="27:31" x14ac:dyDescent="0.2">
      <c r="AA493" s="456">
        <v>12109201</v>
      </c>
      <c r="AB493" s="460"/>
      <c r="AE493" s="254">
        <v>5021</v>
      </c>
    </row>
    <row r="494" spans="27:31" x14ac:dyDescent="0.2">
      <c r="AA494" s="456">
        <v>12109205</v>
      </c>
      <c r="AB494" s="460"/>
      <c r="AE494" s="254">
        <v>5022</v>
      </c>
    </row>
    <row r="495" spans="27:31" x14ac:dyDescent="0.2">
      <c r="AA495" s="456">
        <v>12111001</v>
      </c>
      <c r="AB495" s="460"/>
      <c r="AE495" s="254">
        <v>5023</v>
      </c>
    </row>
    <row r="496" spans="27:31" x14ac:dyDescent="0.2">
      <c r="AA496" s="456">
        <v>12111005</v>
      </c>
      <c r="AB496" s="460"/>
      <c r="AE496" s="254">
        <v>5024</v>
      </c>
    </row>
    <row r="497" spans="27:31" x14ac:dyDescent="0.2">
      <c r="AA497" s="648">
        <v>12111101</v>
      </c>
      <c r="AB497" s="460"/>
      <c r="AE497" s="254">
        <v>5025</v>
      </c>
    </row>
    <row r="498" spans="27:31" x14ac:dyDescent="0.2">
      <c r="AA498" s="648">
        <v>12111105</v>
      </c>
      <c r="AB498" s="460"/>
      <c r="AE498" s="254">
        <v>5026</v>
      </c>
    </row>
    <row r="499" spans="27:31" x14ac:dyDescent="0.2">
      <c r="AA499" s="648">
        <v>12111201</v>
      </c>
      <c r="AB499" s="460"/>
      <c r="AE499" s="254">
        <v>5027</v>
      </c>
    </row>
    <row r="500" spans="27:31" x14ac:dyDescent="0.2">
      <c r="AA500" s="648">
        <v>12111205</v>
      </c>
      <c r="AB500" s="460"/>
      <c r="AE500" s="254">
        <v>5028</v>
      </c>
    </row>
    <row r="501" spans="27:31" x14ac:dyDescent="0.2">
      <c r="AA501" s="648">
        <v>12112001</v>
      </c>
      <c r="AB501" s="460"/>
      <c r="AE501" s="254">
        <v>5029</v>
      </c>
    </row>
    <row r="502" spans="27:31" x14ac:dyDescent="0.2">
      <c r="AA502" s="648">
        <v>12112005</v>
      </c>
      <c r="AB502" s="460"/>
      <c r="AE502" s="254">
        <v>5050</v>
      </c>
    </row>
    <row r="503" spans="27:31" x14ac:dyDescent="0.2">
      <c r="AA503" s="648">
        <v>12112101</v>
      </c>
      <c r="AB503" s="460"/>
      <c r="AE503" s="254">
        <v>5051</v>
      </c>
    </row>
    <row r="504" spans="27:31" x14ac:dyDescent="0.2">
      <c r="AA504" s="648">
        <v>12112105</v>
      </c>
      <c r="AB504" s="460"/>
      <c r="AE504" s="254">
        <v>5052</v>
      </c>
    </row>
    <row r="505" spans="27:31" x14ac:dyDescent="0.2">
      <c r="AA505" s="648">
        <v>12112201</v>
      </c>
      <c r="AB505" s="460"/>
      <c r="AE505" s="254">
        <v>5053</v>
      </c>
    </row>
    <row r="506" spans="27:31" x14ac:dyDescent="0.2">
      <c r="AA506" s="648">
        <v>12112205</v>
      </c>
      <c r="AB506" s="460"/>
      <c r="AE506" s="254">
        <v>5054</v>
      </c>
    </row>
    <row r="507" spans="27:31" x14ac:dyDescent="0.2">
      <c r="AA507" s="648">
        <v>12113001</v>
      </c>
      <c r="AB507" s="460"/>
      <c r="AE507" s="254">
        <v>5055</v>
      </c>
    </row>
    <row r="508" spans="27:31" x14ac:dyDescent="0.2">
      <c r="AA508" s="648">
        <v>12113005</v>
      </c>
      <c r="AB508" s="460"/>
      <c r="AE508" s="254">
        <v>5056</v>
      </c>
    </row>
    <row r="509" spans="27:31" x14ac:dyDescent="0.2">
      <c r="AA509" s="648">
        <v>12113101</v>
      </c>
      <c r="AB509" s="460"/>
      <c r="AE509" s="254">
        <v>5057</v>
      </c>
    </row>
    <row r="510" spans="27:31" x14ac:dyDescent="0.2">
      <c r="AA510" s="648">
        <v>12113105</v>
      </c>
      <c r="AB510" s="460"/>
      <c r="AE510" s="254">
        <v>5058</v>
      </c>
    </row>
    <row r="511" spans="27:31" x14ac:dyDescent="0.2">
      <c r="AA511" s="648">
        <v>12113201</v>
      </c>
      <c r="AB511" s="460"/>
      <c r="AE511" s="254">
        <v>5059</v>
      </c>
    </row>
    <row r="512" spans="27:31" x14ac:dyDescent="0.2">
      <c r="AA512" s="648">
        <v>12113205</v>
      </c>
      <c r="AB512" s="460"/>
      <c r="AE512" s="254">
        <v>5060</v>
      </c>
    </row>
    <row r="513" spans="27:31" x14ac:dyDescent="0.2">
      <c r="AA513" s="648">
        <v>12114001</v>
      </c>
      <c r="AB513" s="460"/>
      <c r="AE513" s="254">
        <v>5061</v>
      </c>
    </row>
    <row r="514" spans="27:31" x14ac:dyDescent="0.2">
      <c r="AA514" s="648">
        <v>12114005</v>
      </c>
      <c r="AB514" s="460"/>
      <c r="AE514" s="254">
        <v>5062</v>
      </c>
    </row>
    <row r="515" spans="27:31" x14ac:dyDescent="0.2">
      <c r="AA515" s="648">
        <v>12114101</v>
      </c>
      <c r="AB515" s="460"/>
      <c r="AE515" s="254">
        <v>5063</v>
      </c>
    </row>
    <row r="516" spans="27:31" x14ac:dyDescent="0.2">
      <c r="AA516" s="648">
        <v>12114105</v>
      </c>
      <c r="AB516" s="460"/>
      <c r="AE516" s="254">
        <v>5064</v>
      </c>
    </row>
    <row r="517" spans="27:31" x14ac:dyDescent="0.2">
      <c r="AA517" s="648">
        <v>12114201</v>
      </c>
      <c r="AB517" s="460"/>
      <c r="AE517" s="254">
        <v>5065</v>
      </c>
    </row>
    <row r="518" spans="27:31" x14ac:dyDescent="0.2">
      <c r="AA518" s="648">
        <v>12114205</v>
      </c>
      <c r="AB518" s="460"/>
      <c r="AE518" s="254">
        <v>5066</v>
      </c>
    </row>
    <row r="519" spans="27:31" x14ac:dyDescent="0.2">
      <c r="AA519" s="648">
        <v>12115001</v>
      </c>
      <c r="AB519" s="460"/>
      <c r="AE519" s="254">
        <v>5067</v>
      </c>
    </row>
    <row r="520" spans="27:31" x14ac:dyDescent="0.2">
      <c r="AA520" s="648">
        <v>12115005</v>
      </c>
      <c r="AB520" s="460"/>
      <c r="AE520" s="254">
        <v>5068</v>
      </c>
    </row>
    <row r="521" spans="27:31" x14ac:dyDescent="0.2">
      <c r="AA521" s="648">
        <v>12115101</v>
      </c>
      <c r="AB521" s="460"/>
      <c r="AE521" s="254">
        <v>5069</v>
      </c>
    </row>
    <row r="522" spans="27:31" x14ac:dyDescent="0.2">
      <c r="AA522" s="648">
        <v>12115105</v>
      </c>
      <c r="AB522" s="460"/>
      <c r="AE522" s="254">
        <v>5110</v>
      </c>
    </row>
    <row r="523" spans="27:31" x14ac:dyDescent="0.2">
      <c r="AA523" s="648">
        <v>12115201</v>
      </c>
      <c r="AB523" s="460"/>
      <c r="AE523" s="254">
        <v>5111</v>
      </c>
    </row>
    <row r="524" spans="27:31" x14ac:dyDescent="0.2">
      <c r="AA524" s="648">
        <v>12115205</v>
      </c>
      <c r="AB524" s="460"/>
      <c r="AE524" s="254">
        <v>5112</v>
      </c>
    </row>
    <row r="525" spans="27:31" x14ac:dyDescent="0.2">
      <c r="AA525" s="456">
        <v>12116001</v>
      </c>
      <c r="AB525" s="460"/>
      <c r="AE525" s="254">
        <v>5113</v>
      </c>
    </row>
    <row r="526" spans="27:31" x14ac:dyDescent="0.2">
      <c r="AA526" s="456">
        <v>12116005</v>
      </c>
      <c r="AB526" s="460"/>
      <c r="AE526" s="254">
        <v>5114</v>
      </c>
    </row>
    <row r="527" spans="27:31" x14ac:dyDescent="0.2">
      <c r="AA527" s="456">
        <v>12116101</v>
      </c>
      <c r="AB527" s="460"/>
      <c r="AE527" s="254">
        <v>5115</v>
      </c>
    </row>
    <row r="528" spans="27:31" x14ac:dyDescent="0.2">
      <c r="AA528" s="456">
        <v>12116105</v>
      </c>
      <c r="AB528" s="460"/>
      <c r="AE528" s="254">
        <v>5116</v>
      </c>
    </row>
    <row r="529" spans="27:31" x14ac:dyDescent="0.2">
      <c r="AA529" s="456">
        <v>12116201</v>
      </c>
      <c r="AB529" s="460"/>
      <c r="AE529" s="254">
        <v>5117</v>
      </c>
    </row>
    <row r="530" spans="27:31" x14ac:dyDescent="0.2">
      <c r="AA530" s="456">
        <v>12116205</v>
      </c>
      <c r="AB530" s="460"/>
      <c r="AE530" s="254">
        <v>5118</v>
      </c>
    </row>
    <row r="531" spans="27:31" x14ac:dyDescent="0.2">
      <c r="AA531" s="456">
        <v>12117001</v>
      </c>
      <c r="AB531" s="460"/>
      <c r="AE531" s="254">
        <v>5119</v>
      </c>
    </row>
    <row r="532" spans="27:31" x14ac:dyDescent="0.2">
      <c r="AA532" s="456">
        <v>12117005</v>
      </c>
      <c r="AB532" s="460"/>
      <c r="AE532" s="254">
        <v>5120</v>
      </c>
    </row>
    <row r="533" spans="27:31" x14ac:dyDescent="0.2">
      <c r="AA533" s="456">
        <v>12117101</v>
      </c>
      <c r="AB533" s="460"/>
      <c r="AE533" s="254">
        <v>5121</v>
      </c>
    </row>
    <row r="534" spans="27:31" x14ac:dyDescent="0.2">
      <c r="AA534" s="456">
        <v>12117105</v>
      </c>
      <c r="AB534" s="460"/>
      <c r="AE534" s="254">
        <v>5122</v>
      </c>
    </row>
    <row r="535" spans="27:31" x14ac:dyDescent="0.2">
      <c r="AA535" s="456">
        <v>12117201</v>
      </c>
      <c r="AB535" s="460"/>
      <c r="AE535" s="254">
        <v>5123</v>
      </c>
    </row>
    <row r="536" spans="27:31" x14ac:dyDescent="0.2">
      <c r="AA536" s="456">
        <v>12117205</v>
      </c>
      <c r="AB536" s="460"/>
      <c r="AE536" s="254">
        <v>5124</v>
      </c>
    </row>
    <row r="537" spans="27:31" x14ac:dyDescent="0.2">
      <c r="AA537" s="456">
        <v>12118001</v>
      </c>
      <c r="AB537" s="460"/>
      <c r="AE537" s="254">
        <v>5125</v>
      </c>
    </row>
    <row r="538" spans="27:31" x14ac:dyDescent="0.2">
      <c r="AA538" s="456">
        <v>12118005</v>
      </c>
      <c r="AB538" s="460"/>
      <c r="AE538" s="254">
        <v>5126</v>
      </c>
    </row>
    <row r="539" spans="27:31" x14ac:dyDescent="0.2">
      <c r="AA539" s="456">
        <v>12118101</v>
      </c>
      <c r="AB539" s="460"/>
      <c r="AE539" s="254">
        <v>5127</v>
      </c>
    </row>
    <row r="540" spans="27:31" x14ac:dyDescent="0.2">
      <c r="AA540" s="456">
        <v>12118105</v>
      </c>
      <c r="AB540" s="460"/>
      <c r="AE540" s="254">
        <v>5128</v>
      </c>
    </row>
    <row r="541" spans="27:31" x14ac:dyDescent="0.2">
      <c r="AA541" s="456">
        <v>12118201</v>
      </c>
      <c r="AB541" s="460"/>
      <c r="AE541" s="254">
        <v>5129</v>
      </c>
    </row>
    <row r="542" spans="27:31" x14ac:dyDescent="0.2">
      <c r="AA542" s="456">
        <v>12118205</v>
      </c>
      <c r="AB542" s="460"/>
      <c r="AE542" s="254">
        <v>5150</v>
      </c>
    </row>
    <row r="543" spans="27:31" x14ac:dyDescent="0.2">
      <c r="AA543" s="456">
        <v>12119001</v>
      </c>
      <c r="AB543" s="460"/>
      <c r="AE543" s="254">
        <v>5151</v>
      </c>
    </row>
    <row r="544" spans="27:31" x14ac:dyDescent="0.2">
      <c r="AA544" s="456">
        <v>12119005</v>
      </c>
      <c r="AB544" s="460"/>
      <c r="AE544" s="254">
        <v>5152</v>
      </c>
    </row>
    <row r="545" spans="27:31" x14ac:dyDescent="0.2">
      <c r="AA545" s="456">
        <v>12119101</v>
      </c>
      <c r="AB545" s="460"/>
      <c r="AE545" s="254">
        <v>5153</v>
      </c>
    </row>
    <row r="546" spans="27:31" x14ac:dyDescent="0.2">
      <c r="AA546" s="456">
        <v>12119105</v>
      </c>
      <c r="AB546" s="460"/>
      <c r="AE546" s="254">
        <v>5154</v>
      </c>
    </row>
    <row r="547" spans="27:31" x14ac:dyDescent="0.2">
      <c r="AA547" s="456">
        <v>12119201</v>
      </c>
      <c r="AB547" s="460"/>
      <c r="AE547" s="254">
        <v>5155</v>
      </c>
    </row>
    <row r="548" spans="27:31" x14ac:dyDescent="0.2">
      <c r="AA548" s="456">
        <v>12119205</v>
      </c>
      <c r="AB548" s="460"/>
      <c r="AE548" s="254">
        <v>5156</v>
      </c>
    </row>
    <row r="549" spans="27:31" x14ac:dyDescent="0.2">
      <c r="AA549" s="648">
        <v>12201001</v>
      </c>
      <c r="AB549" s="460"/>
      <c r="AE549" s="254">
        <v>5157</v>
      </c>
    </row>
    <row r="550" spans="27:31" x14ac:dyDescent="0.2">
      <c r="AA550" s="648">
        <v>12201005</v>
      </c>
      <c r="AB550" s="460"/>
      <c r="AE550" s="254">
        <v>5158</v>
      </c>
    </row>
    <row r="551" spans="27:31" x14ac:dyDescent="0.2">
      <c r="AA551" s="648">
        <v>12201101</v>
      </c>
      <c r="AB551" s="460"/>
      <c r="AE551" s="254">
        <v>5159</v>
      </c>
    </row>
    <row r="552" spans="27:31" x14ac:dyDescent="0.2">
      <c r="AA552" s="648">
        <v>12201105</v>
      </c>
      <c r="AB552" s="460"/>
      <c r="AE552" s="254">
        <v>5160</v>
      </c>
    </row>
    <row r="553" spans="27:31" x14ac:dyDescent="0.2">
      <c r="AA553" s="648">
        <v>12201201</v>
      </c>
      <c r="AB553" s="460"/>
      <c r="AE553" s="254">
        <v>5161</v>
      </c>
    </row>
    <row r="554" spans="27:31" x14ac:dyDescent="0.2">
      <c r="AA554" s="648">
        <v>12201205</v>
      </c>
      <c r="AB554" s="460"/>
      <c r="AE554" s="254">
        <v>5162</v>
      </c>
    </row>
    <row r="555" spans="27:31" x14ac:dyDescent="0.2">
      <c r="AA555" s="648">
        <v>12202001</v>
      </c>
      <c r="AB555" s="460"/>
      <c r="AE555" s="254">
        <v>5163</v>
      </c>
    </row>
    <row r="556" spans="27:31" x14ac:dyDescent="0.2">
      <c r="AA556" s="648">
        <v>12202005</v>
      </c>
      <c r="AB556" s="460"/>
      <c r="AE556" s="254">
        <v>5164</v>
      </c>
    </row>
    <row r="557" spans="27:31" x14ac:dyDescent="0.2">
      <c r="AA557" s="648">
        <v>12202101</v>
      </c>
      <c r="AB557" s="460"/>
      <c r="AE557" s="254">
        <v>5165</v>
      </c>
    </row>
    <row r="558" spans="27:31" x14ac:dyDescent="0.2">
      <c r="AA558" s="648">
        <v>12202105</v>
      </c>
      <c r="AB558" s="460"/>
      <c r="AE558" s="254">
        <v>5166</v>
      </c>
    </row>
    <row r="559" spans="27:31" x14ac:dyDescent="0.2">
      <c r="AA559" s="648">
        <v>12202201</v>
      </c>
      <c r="AB559" s="460"/>
      <c r="AE559" s="254">
        <v>5167</v>
      </c>
    </row>
    <row r="560" spans="27:31" x14ac:dyDescent="0.2">
      <c r="AA560" s="648">
        <v>12202205</v>
      </c>
      <c r="AB560" s="460"/>
      <c r="AE560" s="254">
        <v>5168</v>
      </c>
    </row>
    <row r="561" spans="27:31" x14ac:dyDescent="0.2">
      <c r="AA561" s="648">
        <v>12203001</v>
      </c>
      <c r="AB561" s="460"/>
      <c r="AE561" s="254">
        <v>5169</v>
      </c>
    </row>
    <row r="562" spans="27:31" x14ac:dyDescent="0.2">
      <c r="AA562" s="648">
        <v>12203005</v>
      </c>
      <c r="AB562" s="460"/>
      <c r="AE562" s="254">
        <v>5210</v>
      </c>
    </row>
    <row r="563" spans="27:31" x14ac:dyDescent="0.2">
      <c r="AA563" s="648">
        <v>12203101</v>
      </c>
      <c r="AB563" s="460"/>
      <c r="AE563" s="254">
        <v>5211</v>
      </c>
    </row>
    <row r="564" spans="27:31" x14ac:dyDescent="0.2">
      <c r="AA564" s="648">
        <v>12203105</v>
      </c>
      <c r="AB564" s="460"/>
      <c r="AE564" s="254">
        <v>5212</v>
      </c>
    </row>
    <row r="565" spans="27:31" x14ac:dyDescent="0.2">
      <c r="AA565" s="648">
        <v>12203201</v>
      </c>
      <c r="AB565" s="460"/>
      <c r="AE565" s="254">
        <v>5213</v>
      </c>
    </row>
    <row r="566" spans="27:31" x14ac:dyDescent="0.2">
      <c r="AA566" s="648">
        <v>12203205</v>
      </c>
      <c r="AB566" s="460"/>
      <c r="AE566" s="254">
        <v>5214</v>
      </c>
    </row>
    <row r="567" spans="27:31" x14ac:dyDescent="0.2">
      <c r="AA567" s="648">
        <v>12204001</v>
      </c>
      <c r="AB567" s="460"/>
      <c r="AE567" s="254">
        <v>5215</v>
      </c>
    </row>
    <row r="568" spans="27:31" x14ac:dyDescent="0.2">
      <c r="AA568" s="648">
        <v>12204005</v>
      </c>
      <c r="AB568" s="460"/>
      <c r="AE568" s="254">
        <v>5216</v>
      </c>
    </row>
    <row r="569" spans="27:31" x14ac:dyDescent="0.2">
      <c r="AA569" s="648">
        <v>12204101</v>
      </c>
      <c r="AB569" s="460"/>
      <c r="AE569" s="254">
        <v>5217</v>
      </c>
    </row>
    <row r="570" spans="27:31" x14ac:dyDescent="0.2">
      <c r="AA570" s="648">
        <v>12204105</v>
      </c>
      <c r="AB570" s="460"/>
      <c r="AE570" s="254">
        <v>5218</v>
      </c>
    </row>
    <row r="571" spans="27:31" x14ac:dyDescent="0.2">
      <c r="AA571" s="648">
        <v>12204201</v>
      </c>
      <c r="AB571" s="460"/>
      <c r="AE571" s="254">
        <v>5219</v>
      </c>
    </row>
    <row r="572" spans="27:31" x14ac:dyDescent="0.2">
      <c r="AA572" s="648">
        <v>12204205</v>
      </c>
      <c r="AB572" s="460"/>
      <c r="AE572" s="254">
        <v>5220</v>
      </c>
    </row>
    <row r="573" spans="27:31" x14ac:dyDescent="0.2">
      <c r="AA573" s="648">
        <v>12205001</v>
      </c>
      <c r="AB573" s="460"/>
      <c r="AE573" s="254">
        <v>5221</v>
      </c>
    </row>
    <row r="574" spans="27:31" x14ac:dyDescent="0.2">
      <c r="AA574" s="648">
        <v>12205005</v>
      </c>
      <c r="AB574" s="460"/>
      <c r="AE574" s="254">
        <v>5222</v>
      </c>
    </row>
    <row r="575" spans="27:31" x14ac:dyDescent="0.2">
      <c r="AA575" s="648">
        <v>12205101</v>
      </c>
      <c r="AB575" s="460"/>
      <c r="AE575" s="254">
        <v>5223</v>
      </c>
    </row>
    <row r="576" spans="27:31" x14ac:dyDescent="0.2">
      <c r="AA576" s="648">
        <v>12205105</v>
      </c>
      <c r="AB576" s="460"/>
      <c r="AE576" s="254">
        <v>5224</v>
      </c>
    </row>
    <row r="577" spans="27:31" x14ac:dyDescent="0.2">
      <c r="AA577" s="648">
        <v>12205201</v>
      </c>
      <c r="AB577" s="460"/>
      <c r="AE577" s="254">
        <v>5225</v>
      </c>
    </row>
    <row r="578" spans="27:31" x14ac:dyDescent="0.2">
      <c r="AA578" s="648">
        <v>12205205</v>
      </c>
      <c r="AB578" s="460"/>
      <c r="AE578" s="254">
        <v>5226</v>
      </c>
    </row>
    <row r="579" spans="27:31" x14ac:dyDescent="0.2">
      <c r="AA579" s="456">
        <v>12206001</v>
      </c>
      <c r="AB579" s="460"/>
      <c r="AE579" s="254">
        <v>5227</v>
      </c>
    </row>
    <row r="580" spans="27:31" x14ac:dyDescent="0.2">
      <c r="AA580" s="456">
        <v>12206005</v>
      </c>
      <c r="AB580" s="460"/>
      <c r="AE580" s="254">
        <v>5228</v>
      </c>
    </row>
    <row r="581" spans="27:31" x14ac:dyDescent="0.2">
      <c r="AA581" s="456">
        <v>12206101</v>
      </c>
      <c r="AB581" s="460"/>
      <c r="AE581" s="254">
        <v>5229</v>
      </c>
    </row>
    <row r="582" spans="27:31" x14ac:dyDescent="0.2">
      <c r="AA582" s="456">
        <v>12206105</v>
      </c>
      <c r="AB582" s="460"/>
      <c r="AE582" s="254">
        <v>5250</v>
      </c>
    </row>
    <row r="583" spans="27:31" x14ac:dyDescent="0.2">
      <c r="AA583" s="456">
        <v>12206201</v>
      </c>
      <c r="AB583" s="460"/>
      <c r="AE583" s="254">
        <v>5251</v>
      </c>
    </row>
    <row r="584" spans="27:31" x14ac:dyDescent="0.2">
      <c r="AA584" s="456">
        <v>12206205</v>
      </c>
      <c r="AB584" s="460"/>
      <c r="AE584" s="254">
        <v>5252</v>
      </c>
    </row>
    <row r="585" spans="27:31" x14ac:dyDescent="0.2">
      <c r="AA585" s="456">
        <v>12207001</v>
      </c>
      <c r="AB585" s="460"/>
      <c r="AE585" s="254">
        <v>5253</v>
      </c>
    </row>
    <row r="586" spans="27:31" x14ac:dyDescent="0.2">
      <c r="AA586" s="456">
        <v>12207005</v>
      </c>
      <c r="AB586" s="460"/>
      <c r="AE586" s="254">
        <v>5254</v>
      </c>
    </row>
    <row r="587" spans="27:31" x14ac:dyDescent="0.2">
      <c r="AA587" s="456">
        <v>12207101</v>
      </c>
      <c r="AB587" s="460"/>
      <c r="AE587" s="254">
        <v>5255</v>
      </c>
    </row>
    <row r="588" spans="27:31" x14ac:dyDescent="0.2">
      <c r="AA588" s="456">
        <v>12207105</v>
      </c>
      <c r="AB588" s="460"/>
      <c r="AE588" s="254">
        <v>5256</v>
      </c>
    </row>
    <row r="589" spans="27:31" x14ac:dyDescent="0.2">
      <c r="AA589" s="456">
        <v>12207201</v>
      </c>
      <c r="AB589" s="460"/>
      <c r="AE589" s="254">
        <v>5257</v>
      </c>
    </row>
    <row r="590" spans="27:31" x14ac:dyDescent="0.2">
      <c r="AA590" s="456">
        <v>12207205</v>
      </c>
      <c r="AB590" s="460"/>
      <c r="AE590" s="254">
        <v>5258</v>
      </c>
    </row>
    <row r="591" spans="27:31" x14ac:dyDescent="0.2">
      <c r="AA591" s="456">
        <v>12208001</v>
      </c>
      <c r="AB591" s="460"/>
      <c r="AE591" s="254">
        <v>5259</v>
      </c>
    </row>
    <row r="592" spans="27:31" x14ac:dyDescent="0.2">
      <c r="AA592" s="456">
        <v>12208005</v>
      </c>
      <c r="AB592" s="460"/>
      <c r="AE592" s="254">
        <v>5260</v>
      </c>
    </row>
    <row r="593" spans="27:31" x14ac:dyDescent="0.2">
      <c r="AA593" s="456">
        <v>12208101</v>
      </c>
      <c r="AB593" s="460"/>
      <c r="AE593" s="254">
        <v>5261</v>
      </c>
    </row>
    <row r="594" spans="27:31" x14ac:dyDescent="0.2">
      <c r="AA594" s="456">
        <v>12208105</v>
      </c>
      <c r="AB594" s="460"/>
      <c r="AE594" s="254">
        <v>5262</v>
      </c>
    </row>
    <row r="595" spans="27:31" x14ac:dyDescent="0.2">
      <c r="AA595" s="456">
        <v>12208201</v>
      </c>
      <c r="AB595" s="460"/>
      <c r="AE595" s="254">
        <v>5263</v>
      </c>
    </row>
    <row r="596" spans="27:31" x14ac:dyDescent="0.2">
      <c r="AA596" s="456">
        <v>12208205</v>
      </c>
      <c r="AB596" s="460"/>
      <c r="AE596" s="254">
        <v>5264</v>
      </c>
    </row>
    <row r="597" spans="27:31" x14ac:dyDescent="0.2">
      <c r="AA597" s="456">
        <v>12209001</v>
      </c>
      <c r="AB597" s="460"/>
      <c r="AE597" s="254">
        <v>5265</v>
      </c>
    </row>
    <row r="598" spans="27:31" x14ac:dyDescent="0.2">
      <c r="AA598" s="456">
        <v>12209005</v>
      </c>
      <c r="AB598" s="460"/>
      <c r="AE598" s="254">
        <v>5266</v>
      </c>
    </row>
    <row r="599" spans="27:31" x14ac:dyDescent="0.2">
      <c r="AA599" s="456">
        <v>12209101</v>
      </c>
      <c r="AB599" s="460"/>
      <c r="AE599" s="254">
        <v>5267</v>
      </c>
    </row>
    <row r="600" spans="27:31" x14ac:dyDescent="0.2">
      <c r="AA600" s="456">
        <v>12209105</v>
      </c>
      <c r="AB600" s="460"/>
      <c r="AE600" s="254">
        <v>5268</v>
      </c>
    </row>
    <row r="601" spans="27:31" x14ac:dyDescent="0.2">
      <c r="AA601" s="456">
        <v>12209201</v>
      </c>
      <c r="AB601" s="460"/>
      <c r="AE601" s="254">
        <v>5269</v>
      </c>
    </row>
    <row r="602" spans="27:31" x14ac:dyDescent="0.2">
      <c r="AA602" s="456">
        <v>12209205</v>
      </c>
      <c r="AB602" s="460"/>
      <c r="AE602" s="254">
        <v>6010</v>
      </c>
    </row>
    <row r="603" spans="27:31" x14ac:dyDescent="0.2">
      <c r="AA603" s="456">
        <v>12211001</v>
      </c>
      <c r="AB603" s="460"/>
      <c r="AE603" s="254">
        <v>6011</v>
      </c>
    </row>
    <row r="604" spans="27:31" x14ac:dyDescent="0.2">
      <c r="AA604" s="456">
        <v>12211005</v>
      </c>
      <c r="AB604" s="460"/>
      <c r="AE604" s="254">
        <v>6012</v>
      </c>
    </row>
    <row r="605" spans="27:31" x14ac:dyDescent="0.2">
      <c r="AA605" s="648">
        <v>12211101</v>
      </c>
      <c r="AB605" s="460"/>
      <c r="AE605" s="254">
        <v>6013</v>
      </c>
    </row>
    <row r="606" spans="27:31" x14ac:dyDescent="0.2">
      <c r="AA606" s="648">
        <v>12211105</v>
      </c>
      <c r="AB606" s="460"/>
      <c r="AE606" s="254">
        <v>6014</v>
      </c>
    </row>
    <row r="607" spans="27:31" x14ac:dyDescent="0.2">
      <c r="AA607" s="648">
        <v>12211201</v>
      </c>
      <c r="AB607" s="460"/>
      <c r="AE607" s="254">
        <v>6015</v>
      </c>
    </row>
    <row r="608" spans="27:31" x14ac:dyDescent="0.2">
      <c r="AA608" s="648">
        <v>12211205</v>
      </c>
      <c r="AB608" s="460"/>
      <c r="AE608" s="254">
        <v>6016</v>
      </c>
    </row>
    <row r="609" spans="27:31" x14ac:dyDescent="0.2">
      <c r="AA609" s="648">
        <v>12212001</v>
      </c>
      <c r="AB609" s="460"/>
      <c r="AE609" s="254">
        <v>6017</v>
      </c>
    </row>
    <row r="610" spans="27:31" x14ac:dyDescent="0.2">
      <c r="AA610" s="648">
        <v>12212005</v>
      </c>
      <c r="AB610" s="460"/>
      <c r="AE610" s="254">
        <v>6018</v>
      </c>
    </row>
    <row r="611" spans="27:31" x14ac:dyDescent="0.2">
      <c r="AA611" s="648">
        <v>12212101</v>
      </c>
      <c r="AB611" s="460"/>
      <c r="AE611" s="254">
        <v>6019</v>
      </c>
    </row>
    <row r="612" spans="27:31" x14ac:dyDescent="0.2">
      <c r="AA612" s="648">
        <v>12212105</v>
      </c>
      <c r="AB612" s="460"/>
      <c r="AE612" s="254">
        <v>6020</v>
      </c>
    </row>
    <row r="613" spans="27:31" x14ac:dyDescent="0.2">
      <c r="AA613" s="648">
        <v>12212201</v>
      </c>
      <c r="AB613" s="460"/>
      <c r="AE613" s="254">
        <v>6021</v>
      </c>
    </row>
    <row r="614" spans="27:31" x14ac:dyDescent="0.2">
      <c r="AA614" s="648">
        <v>12212205</v>
      </c>
      <c r="AB614" s="460"/>
      <c r="AE614" s="254">
        <v>6022</v>
      </c>
    </row>
    <row r="615" spans="27:31" x14ac:dyDescent="0.2">
      <c r="AA615" s="648">
        <v>12213001</v>
      </c>
      <c r="AB615" s="460"/>
      <c r="AE615" s="254">
        <v>6023</v>
      </c>
    </row>
    <row r="616" spans="27:31" x14ac:dyDescent="0.2">
      <c r="AA616" s="648">
        <v>12213005</v>
      </c>
      <c r="AB616" s="460"/>
      <c r="AE616" s="254">
        <v>6024</v>
      </c>
    </row>
    <row r="617" spans="27:31" x14ac:dyDescent="0.2">
      <c r="AA617" s="648">
        <v>12213101</v>
      </c>
      <c r="AB617" s="460"/>
      <c r="AE617" s="254">
        <v>6025</v>
      </c>
    </row>
    <row r="618" spans="27:31" x14ac:dyDescent="0.2">
      <c r="AA618" s="648">
        <v>12213105</v>
      </c>
      <c r="AB618" s="460"/>
      <c r="AE618" s="254">
        <v>6026</v>
      </c>
    </row>
    <row r="619" spans="27:31" x14ac:dyDescent="0.2">
      <c r="AA619" s="648">
        <v>12213201</v>
      </c>
      <c r="AB619" s="460"/>
      <c r="AE619" s="254">
        <v>6027</v>
      </c>
    </row>
    <row r="620" spans="27:31" x14ac:dyDescent="0.2">
      <c r="AA620" s="648">
        <v>12213205</v>
      </c>
      <c r="AB620" s="460"/>
      <c r="AE620" s="254">
        <v>6028</v>
      </c>
    </row>
    <row r="621" spans="27:31" x14ac:dyDescent="0.2">
      <c r="AA621" s="648">
        <v>12214001</v>
      </c>
      <c r="AB621" s="460"/>
      <c r="AE621" s="254">
        <v>6029</v>
      </c>
    </row>
    <row r="622" spans="27:31" x14ac:dyDescent="0.2">
      <c r="AA622" s="648">
        <v>12214005</v>
      </c>
      <c r="AB622" s="460"/>
      <c r="AE622" s="254">
        <v>6050</v>
      </c>
    </row>
    <row r="623" spans="27:31" x14ac:dyDescent="0.2">
      <c r="AA623" s="648">
        <v>12214101</v>
      </c>
      <c r="AB623" s="460"/>
      <c r="AE623" s="254">
        <v>6051</v>
      </c>
    </row>
    <row r="624" spans="27:31" x14ac:dyDescent="0.2">
      <c r="AA624" s="648">
        <v>12214105</v>
      </c>
      <c r="AB624" s="460"/>
      <c r="AE624" s="254">
        <v>6052</v>
      </c>
    </row>
    <row r="625" spans="27:31" x14ac:dyDescent="0.2">
      <c r="AA625" s="648">
        <v>12214201</v>
      </c>
      <c r="AB625" s="460"/>
      <c r="AE625" s="254">
        <v>6053</v>
      </c>
    </row>
    <row r="626" spans="27:31" x14ac:dyDescent="0.2">
      <c r="AA626" s="648">
        <v>12214205</v>
      </c>
      <c r="AB626" s="460"/>
      <c r="AE626" s="254">
        <v>6054</v>
      </c>
    </row>
    <row r="627" spans="27:31" x14ac:dyDescent="0.2">
      <c r="AA627" s="648">
        <v>12215001</v>
      </c>
      <c r="AB627" s="460"/>
      <c r="AE627" s="254">
        <v>6055</v>
      </c>
    </row>
    <row r="628" spans="27:31" x14ac:dyDescent="0.2">
      <c r="AA628" s="648">
        <v>12215005</v>
      </c>
      <c r="AB628" s="460"/>
      <c r="AE628" s="254">
        <v>6056</v>
      </c>
    </row>
    <row r="629" spans="27:31" x14ac:dyDescent="0.2">
      <c r="AA629" s="648">
        <v>12215101</v>
      </c>
      <c r="AB629" s="460"/>
      <c r="AE629" s="254">
        <v>6057</v>
      </c>
    </row>
    <row r="630" spans="27:31" x14ac:dyDescent="0.2">
      <c r="AA630" s="648">
        <v>12215105</v>
      </c>
      <c r="AB630" s="460"/>
      <c r="AE630" s="254">
        <v>6058</v>
      </c>
    </row>
    <row r="631" spans="27:31" x14ac:dyDescent="0.2">
      <c r="AA631" s="648">
        <v>12215201</v>
      </c>
      <c r="AB631" s="460"/>
      <c r="AE631" s="254">
        <v>6059</v>
      </c>
    </row>
    <row r="632" spans="27:31" x14ac:dyDescent="0.2">
      <c r="AA632" s="648">
        <v>12215205</v>
      </c>
      <c r="AB632" s="460"/>
      <c r="AE632" s="254">
        <v>6060</v>
      </c>
    </row>
    <row r="633" spans="27:31" x14ac:dyDescent="0.2">
      <c r="AA633" s="456">
        <v>12216001</v>
      </c>
      <c r="AB633" s="460"/>
      <c r="AE633" s="254">
        <v>6061</v>
      </c>
    </row>
    <row r="634" spans="27:31" x14ac:dyDescent="0.2">
      <c r="AA634" s="456">
        <v>12216005</v>
      </c>
      <c r="AB634" s="460"/>
      <c r="AE634" s="254">
        <v>6062</v>
      </c>
    </row>
    <row r="635" spans="27:31" x14ac:dyDescent="0.2">
      <c r="AA635" s="456">
        <v>12216101</v>
      </c>
      <c r="AB635" s="460"/>
      <c r="AE635" s="254">
        <v>6063</v>
      </c>
    </row>
    <row r="636" spans="27:31" x14ac:dyDescent="0.2">
      <c r="AA636" s="456">
        <v>12216105</v>
      </c>
      <c r="AB636" s="460"/>
      <c r="AE636" s="254">
        <v>6064</v>
      </c>
    </row>
    <row r="637" spans="27:31" x14ac:dyDescent="0.2">
      <c r="AA637" s="456">
        <v>12216201</v>
      </c>
      <c r="AB637" s="460"/>
      <c r="AE637" s="254">
        <v>6065</v>
      </c>
    </row>
    <row r="638" spans="27:31" x14ac:dyDescent="0.2">
      <c r="AA638" s="456">
        <v>12216205</v>
      </c>
      <c r="AB638" s="460"/>
      <c r="AE638" s="254">
        <v>6066</v>
      </c>
    </row>
    <row r="639" spans="27:31" x14ac:dyDescent="0.2">
      <c r="AA639" s="456">
        <v>12217001</v>
      </c>
      <c r="AB639" s="460"/>
      <c r="AE639" s="254">
        <v>6067</v>
      </c>
    </row>
    <row r="640" spans="27:31" x14ac:dyDescent="0.2">
      <c r="AA640" s="456">
        <v>12217005</v>
      </c>
      <c r="AB640" s="460"/>
      <c r="AE640" s="254">
        <v>6068</v>
      </c>
    </row>
    <row r="641" spans="27:31" x14ac:dyDescent="0.2">
      <c r="AA641" s="456">
        <v>12217101</v>
      </c>
      <c r="AB641" s="460"/>
      <c r="AE641" s="254">
        <v>6069</v>
      </c>
    </row>
    <row r="642" spans="27:31" x14ac:dyDescent="0.2">
      <c r="AA642" s="456">
        <v>12217105</v>
      </c>
      <c r="AB642" s="460"/>
      <c r="AE642" s="254">
        <v>6110</v>
      </c>
    </row>
    <row r="643" spans="27:31" x14ac:dyDescent="0.2">
      <c r="AA643" s="456">
        <v>12217201</v>
      </c>
      <c r="AB643" s="460"/>
      <c r="AE643" s="254">
        <v>6111</v>
      </c>
    </row>
    <row r="644" spans="27:31" x14ac:dyDescent="0.2">
      <c r="AA644" s="456">
        <v>12217205</v>
      </c>
      <c r="AB644" s="460"/>
      <c r="AE644" s="254">
        <v>6112</v>
      </c>
    </row>
    <row r="645" spans="27:31" x14ac:dyDescent="0.2">
      <c r="AA645" s="456">
        <v>12218001</v>
      </c>
      <c r="AB645" s="460"/>
      <c r="AE645" s="254">
        <v>6113</v>
      </c>
    </row>
    <row r="646" spans="27:31" x14ac:dyDescent="0.2">
      <c r="AA646" s="456">
        <v>12218005</v>
      </c>
      <c r="AB646" s="460"/>
      <c r="AE646" s="254">
        <v>6114</v>
      </c>
    </row>
    <row r="647" spans="27:31" x14ac:dyDescent="0.2">
      <c r="AA647" s="456">
        <v>12218101</v>
      </c>
      <c r="AB647" s="460"/>
      <c r="AE647" s="254">
        <v>6115</v>
      </c>
    </row>
    <row r="648" spans="27:31" x14ac:dyDescent="0.2">
      <c r="AA648" s="456">
        <v>12218105</v>
      </c>
      <c r="AB648" s="460"/>
      <c r="AE648" s="254">
        <v>6116</v>
      </c>
    </row>
    <row r="649" spans="27:31" x14ac:dyDescent="0.2">
      <c r="AA649" s="456">
        <v>12218201</v>
      </c>
      <c r="AB649" s="460"/>
      <c r="AE649" s="254">
        <v>6117</v>
      </c>
    </row>
    <row r="650" spans="27:31" x14ac:dyDescent="0.2">
      <c r="AA650" s="456">
        <v>12218205</v>
      </c>
      <c r="AB650" s="460"/>
      <c r="AE650" s="254">
        <v>6118</v>
      </c>
    </row>
    <row r="651" spans="27:31" x14ac:dyDescent="0.2">
      <c r="AA651" s="456">
        <v>12219001</v>
      </c>
      <c r="AB651" s="460"/>
      <c r="AE651" s="254">
        <v>6119</v>
      </c>
    </row>
    <row r="652" spans="27:31" x14ac:dyDescent="0.2">
      <c r="AA652" s="456">
        <v>12219005</v>
      </c>
      <c r="AB652" s="460"/>
      <c r="AE652" s="254">
        <v>6120</v>
      </c>
    </row>
    <row r="653" spans="27:31" x14ac:dyDescent="0.2">
      <c r="AA653" s="456">
        <v>12219101</v>
      </c>
      <c r="AB653" s="460"/>
      <c r="AE653" s="254">
        <v>6121</v>
      </c>
    </row>
    <row r="654" spans="27:31" x14ac:dyDescent="0.2">
      <c r="AA654" s="456">
        <v>12219105</v>
      </c>
      <c r="AB654" s="460"/>
      <c r="AE654" s="254">
        <v>6122</v>
      </c>
    </row>
    <row r="655" spans="27:31" x14ac:dyDescent="0.2">
      <c r="AA655" s="456">
        <v>12219201</v>
      </c>
      <c r="AB655" s="460"/>
      <c r="AE655" s="254">
        <v>6123</v>
      </c>
    </row>
    <row r="656" spans="27:31" x14ac:dyDescent="0.2">
      <c r="AA656" s="456">
        <v>12219205</v>
      </c>
      <c r="AB656" s="460"/>
      <c r="AE656" s="254">
        <v>6124</v>
      </c>
    </row>
    <row r="657" spans="27:31" x14ac:dyDescent="0.2">
      <c r="AA657" s="648">
        <v>21001001</v>
      </c>
      <c r="AB657" s="460"/>
      <c r="AE657" s="254">
        <v>6125</v>
      </c>
    </row>
    <row r="658" spans="27:31" x14ac:dyDescent="0.2">
      <c r="AA658" s="648">
        <v>21001005</v>
      </c>
      <c r="AB658" s="460"/>
      <c r="AE658" s="254">
        <v>6126</v>
      </c>
    </row>
    <row r="659" spans="27:31" x14ac:dyDescent="0.2">
      <c r="AA659" s="648">
        <v>21001101</v>
      </c>
      <c r="AB659" s="460"/>
      <c r="AE659" s="254">
        <v>6127</v>
      </c>
    </row>
    <row r="660" spans="27:31" x14ac:dyDescent="0.2">
      <c r="AA660" s="648">
        <v>21001105</v>
      </c>
      <c r="AB660" s="460"/>
      <c r="AE660" s="254">
        <v>6128</v>
      </c>
    </row>
    <row r="661" spans="27:31" x14ac:dyDescent="0.2">
      <c r="AA661" s="648">
        <v>21001201</v>
      </c>
      <c r="AB661" s="460"/>
      <c r="AE661" s="254">
        <v>6129</v>
      </c>
    </row>
    <row r="662" spans="27:31" x14ac:dyDescent="0.2">
      <c r="AA662" s="648">
        <v>21001205</v>
      </c>
      <c r="AB662" s="460"/>
      <c r="AE662" s="254">
        <v>6150</v>
      </c>
    </row>
    <row r="663" spans="27:31" x14ac:dyDescent="0.2">
      <c r="AA663" s="648">
        <v>21002001</v>
      </c>
      <c r="AB663" s="460"/>
      <c r="AE663" s="254">
        <v>6151</v>
      </c>
    </row>
    <row r="664" spans="27:31" x14ac:dyDescent="0.2">
      <c r="AA664" s="648">
        <v>21002005</v>
      </c>
      <c r="AB664" s="460"/>
      <c r="AE664" s="254">
        <v>6152</v>
      </c>
    </row>
    <row r="665" spans="27:31" x14ac:dyDescent="0.2">
      <c r="AA665" s="648">
        <v>21002101</v>
      </c>
      <c r="AB665" s="460"/>
      <c r="AE665" s="254">
        <v>6153</v>
      </c>
    </row>
    <row r="666" spans="27:31" x14ac:dyDescent="0.2">
      <c r="AA666" s="648">
        <v>21002105</v>
      </c>
      <c r="AB666" s="460"/>
      <c r="AE666" s="254">
        <v>6154</v>
      </c>
    </row>
    <row r="667" spans="27:31" x14ac:dyDescent="0.2">
      <c r="AA667" s="648">
        <v>21002201</v>
      </c>
      <c r="AB667" s="460"/>
      <c r="AE667" s="254">
        <v>6155</v>
      </c>
    </row>
    <row r="668" spans="27:31" x14ac:dyDescent="0.2">
      <c r="AA668" s="648">
        <v>21002205</v>
      </c>
      <c r="AB668" s="460"/>
      <c r="AE668" s="254">
        <v>6156</v>
      </c>
    </row>
    <row r="669" spans="27:31" x14ac:dyDescent="0.2">
      <c r="AA669" s="648">
        <v>21003001</v>
      </c>
      <c r="AB669" s="460"/>
      <c r="AE669" s="254">
        <v>6157</v>
      </c>
    </row>
    <row r="670" spans="27:31" x14ac:dyDescent="0.2">
      <c r="AA670" s="648">
        <v>21003005</v>
      </c>
      <c r="AB670" s="460"/>
      <c r="AE670" s="254">
        <v>6158</v>
      </c>
    </row>
    <row r="671" spans="27:31" x14ac:dyDescent="0.2">
      <c r="AA671" s="648">
        <v>21003101</v>
      </c>
      <c r="AB671" s="460"/>
      <c r="AE671" s="254">
        <v>6159</v>
      </c>
    </row>
    <row r="672" spans="27:31" x14ac:dyDescent="0.2">
      <c r="AA672" s="648">
        <v>21003105</v>
      </c>
      <c r="AB672" s="460"/>
      <c r="AE672" s="254">
        <v>6160</v>
      </c>
    </row>
    <row r="673" spans="27:31" x14ac:dyDescent="0.2">
      <c r="AA673" s="648">
        <v>21003201</v>
      </c>
      <c r="AB673" s="460"/>
      <c r="AE673" s="254">
        <v>6161</v>
      </c>
    </row>
    <row r="674" spans="27:31" x14ac:dyDescent="0.2">
      <c r="AA674" s="648">
        <v>21003205</v>
      </c>
      <c r="AB674" s="460"/>
      <c r="AE674" s="254">
        <v>6162</v>
      </c>
    </row>
    <row r="675" spans="27:31" x14ac:dyDescent="0.2">
      <c r="AA675" s="648">
        <v>21004001</v>
      </c>
      <c r="AB675" s="460"/>
      <c r="AE675" s="254">
        <v>6163</v>
      </c>
    </row>
    <row r="676" spans="27:31" x14ac:dyDescent="0.2">
      <c r="AA676" s="648">
        <v>21004005</v>
      </c>
      <c r="AB676" s="460"/>
      <c r="AE676" s="254">
        <v>6164</v>
      </c>
    </row>
    <row r="677" spans="27:31" x14ac:dyDescent="0.2">
      <c r="AA677" s="648">
        <v>21004101</v>
      </c>
      <c r="AB677" s="460"/>
      <c r="AE677" s="254">
        <v>6165</v>
      </c>
    </row>
    <row r="678" spans="27:31" x14ac:dyDescent="0.2">
      <c r="AA678" s="648">
        <v>21004105</v>
      </c>
      <c r="AB678" s="460"/>
      <c r="AE678" s="254">
        <v>6166</v>
      </c>
    </row>
    <row r="679" spans="27:31" x14ac:dyDescent="0.2">
      <c r="AA679" s="648">
        <v>21004201</v>
      </c>
      <c r="AB679" s="460"/>
      <c r="AE679" s="254">
        <v>6167</v>
      </c>
    </row>
    <row r="680" spans="27:31" x14ac:dyDescent="0.2">
      <c r="AA680" s="648">
        <v>21004205</v>
      </c>
      <c r="AB680" s="460"/>
      <c r="AE680" s="254">
        <v>6168</v>
      </c>
    </row>
    <row r="681" spans="27:31" x14ac:dyDescent="0.2">
      <c r="AA681" s="648">
        <v>21005001</v>
      </c>
      <c r="AB681" s="460"/>
      <c r="AE681" s="254">
        <v>6169</v>
      </c>
    </row>
    <row r="682" spans="27:31" x14ac:dyDescent="0.2">
      <c r="AA682" s="648">
        <v>21005005</v>
      </c>
      <c r="AB682" s="460"/>
      <c r="AE682" s="254">
        <v>6210</v>
      </c>
    </row>
    <row r="683" spans="27:31" x14ac:dyDescent="0.2">
      <c r="AA683" s="648">
        <v>21005101</v>
      </c>
      <c r="AB683" s="460"/>
      <c r="AE683" s="254">
        <v>6211</v>
      </c>
    </row>
    <row r="684" spans="27:31" x14ac:dyDescent="0.2">
      <c r="AA684" s="648">
        <v>21005105</v>
      </c>
      <c r="AB684" s="460"/>
      <c r="AE684" s="254">
        <v>6212</v>
      </c>
    </row>
    <row r="685" spans="27:31" x14ac:dyDescent="0.2">
      <c r="AA685" s="648">
        <v>21005201</v>
      </c>
      <c r="AB685" s="460"/>
      <c r="AE685" s="254">
        <v>6213</v>
      </c>
    </row>
    <row r="686" spans="27:31" x14ac:dyDescent="0.2">
      <c r="AA686" s="648">
        <v>21005205</v>
      </c>
      <c r="AB686" s="460"/>
      <c r="AE686" s="254">
        <v>6214</v>
      </c>
    </row>
    <row r="687" spans="27:31" x14ac:dyDescent="0.2">
      <c r="AA687" s="456">
        <v>21006001</v>
      </c>
      <c r="AB687" s="460"/>
      <c r="AE687" s="254">
        <v>6215</v>
      </c>
    </row>
    <row r="688" spans="27:31" x14ac:dyDescent="0.2">
      <c r="AA688" s="456">
        <v>21006005</v>
      </c>
      <c r="AB688" s="460"/>
      <c r="AE688" s="254">
        <v>6216</v>
      </c>
    </row>
    <row r="689" spans="27:31" x14ac:dyDescent="0.2">
      <c r="AA689" s="456">
        <v>21006101</v>
      </c>
      <c r="AB689" s="460"/>
      <c r="AE689" s="254">
        <v>6217</v>
      </c>
    </row>
    <row r="690" spans="27:31" x14ac:dyDescent="0.2">
      <c r="AA690" s="456">
        <v>21006105</v>
      </c>
      <c r="AB690" s="460"/>
      <c r="AE690" s="254">
        <v>6218</v>
      </c>
    </row>
    <row r="691" spans="27:31" x14ac:dyDescent="0.2">
      <c r="AA691" s="456">
        <v>21006201</v>
      </c>
      <c r="AB691" s="460"/>
      <c r="AE691" s="254">
        <v>6219</v>
      </c>
    </row>
    <row r="692" spans="27:31" x14ac:dyDescent="0.2">
      <c r="AA692" s="456">
        <v>21006205</v>
      </c>
      <c r="AB692" s="460"/>
      <c r="AE692" s="254">
        <v>6220</v>
      </c>
    </row>
    <row r="693" spans="27:31" x14ac:dyDescent="0.2">
      <c r="AA693" s="456">
        <v>21007001</v>
      </c>
      <c r="AB693" s="460"/>
      <c r="AE693" s="254">
        <v>6221</v>
      </c>
    </row>
    <row r="694" spans="27:31" x14ac:dyDescent="0.2">
      <c r="AA694" s="456">
        <v>21007005</v>
      </c>
      <c r="AB694" s="460"/>
      <c r="AE694" s="254">
        <v>6222</v>
      </c>
    </row>
    <row r="695" spans="27:31" x14ac:dyDescent="0.2">
      <c r="AA695" s="456">
        <v>21007101</v>
      </c>
      <c r="AB695" s="460"/>
      <c r="AE695" s="254">
        <v>6223</v>
      </c>
    </row>
    <row r="696" spans="27:31" x14ac:dyDescent="0.2">
      <c r="AA696" s="456">
        <v>21007105</v>
      </c>
      <c r="AB696" s="460"/>
      <c r="AE696" s="254">
        <v>6224</v>
      </c>
    </row>
    <row r="697" spans="27:31" x14ac:dyDescent="0.2">
      <c r="AA697" s="456">
        <v>21007201</v>
      </c>
      <c r="AB697" s="460"/>
      <c r="AE697" s="254">
        <v>6225</v>
      </c>
    </row>
    <row r="698" spans="27:31" x14ac:dyDescent="0.2">
      <c r="AA698" s="456">
        <v>21007205</v>
      </c>
      <c r="AB698" s="460"/>
      <c r="AE698" s="254">
        <v>6226</v>
      </c>
    </row>
    <row r="699" spans="27:31" x14ac:dyDescent="0.2">
      <c r="AA699" s="456">
        <v>21008001</v>
      </c>
      <c r="AB699" s="460"/>
      <c r="AE699" s="254">
        <v>6227</v>
      </c>
    </row>
    <row r="700" spans="27:31" x14ac:dyDescent="0.2">
      <c r="AA700" s="456">
        <v>21008005</v>
      </c>
      <c r="AB700" s="460"/>
      <c r="AE700" s="254">
        <v>6228</v>
      </c>
    </row>
    <row r="701" spans="27:31" x14ac:dyDescent="0.2">
      <c r="AA701" s="456">
        <v>21008101</v>
      </c>
      <c r="AB701" s="460"/>
      <c r="AE701" s="254">
        <v>6229</v>
      </c>
    </row>
    <row r="702" spans="27:31" x14ac:dyDescent="0.2">
      <c r="AA702" s="456">
        <v>21008105</v>
      </c>
      <c r="AB702" s="460"/>
      <c r="AE702" s="254">
        <v>6250</v>
      </c>
    </row>
    <row r="703" spans="27:31" x14ac:dyDescent="0.2">
      <c r="AA703" s="456">
        <v>21008201</v>
      </c>
      <c r="AB703" s="460"/>
      <c r="AE703" s="254">
        <v>6251</v>
      </c>
    </row>
    <row r="704" spans="27:31" x14ac:dyDescent="0.2">
      <c r="AA704" s="456">
        <v>21008205</v>
      </c>
      <c r="AB704" s="460"/>
      <c r="AE704" s="254">
        <v>6252</v>
      </c>
    </row>
    <row r="705" spans="27:31" x14ac:dyDescent="0.2">
      <c r="AA705" s="456">
        <v>21009001</v>
      </c>
      <c r="AB705" s="460"/>
      <c r="AE705" s="254">
        <v>6253</v>
      </c>
    </row>
    <row r="706" spans="27:31" x14ac:dyDescent="0.2">
      <c r="AA706" s="456">
        <v>21009005</v>
      </c>
      <c r="AB706" s="460"/>
      <c r="AE706" s="254">
        <v>6254</v>
      </c>
    </row>
    <row r="707" spans="27:31" x14ac:dyDescent="0.2">
      <c r="AA707" s="456">
        <v>21009101</v>
      </c>
      <c r="AB707" s="460"/>
      <c r="AE707" s="254">
        <v>6255</v>
      </c>
    </row>
    <row r="708" spans="27:31" x14ac:dyDescent="0.2">
      <c r="AA708" s="456">
        <v>21009105</v>
      </c>
      <c r="AB708" s="460"/>
      <c r="AE708" s="254">
        <v>6256</v>
      </c>
    </row>
    <row r="709" spans="27:31" x14ac:dyDescent="0.2">
      <c r="AA709" s="456">
        <v>21009201</v>
      </c>
      <c r="AB709" s="460"/>
      <c r="AE709" s="254">
        <v>6257</v>
      </c>
    </row>
    <row r="710" spans="27:31" x14ac:dyDescent="0.2">
      <c r="AA710" s="456">
        <v>21009205</v>
      </c>
      <c r="AB710" s="460"/>
      <c r="AE710" s="254">
        <v>6258</v>
      </c>
    </row>
    <row r="711" spans="27:31" x14ac:dyDescent="0.2">
      <c r="AA711" s="456">
        <v>21011001</v>
      </c>
      <c r="AB711" s="460"/>
      <c r="AE711" s="254">
        <v>6259</v>
      </c>
    </row>
    <row r="712" spans="27:31" x14ac:dyDescent="0.2">
      <c r="AA712" s="456">
        <v>21011005</v>
      </c>
      <c r="AB712" s="460"/>
      <c r="AE712" s="254">
        <v>6260</v>
      </c>
    </row>
    <row r="713" spans="27:31" x14ac:dyDescent="0.2">
      <c r="AA713" s="456">
        <v>21011005</v>
      </c>
      <c r="AB713" s="460"/>
      <c r="AE713" s="254">
        <v>6261</v>
      </c>
    </row>
    <row r="714" spans="27:31" x14ac:dyDescent="0.2">
      <c r="AA714" s="648">
        <v>21011101</v>
      </c>
      <c r="AB714" s="460"/>
      <c r="AE714" s="254">
        <v>6262</v>
      </c>
    </row>
    <row r="715" spans="27:31" x14ac:dyDescent="0.2">
      <c r="AA715" s="648">
        <v>21011105</v>
      </c>
      <c r="AB715" s="460"/>
      <c r="AE715" s="254">
        <v>6263</v>
      </c>
    </row>
    <row r="716" spans="27:31" x14ac:dyDescent="0.2">
      <c r="AA716" s="648">
        <v>21011201</v>
      </c>
      <c r="AB716" s="460"/>
      <c r="AE716" s="254">
        <v>6264</v>
      </c>
    </row>
    <row r="717" spans="27:31" x14ac:dyDescent="0.2">
      <c r="AA717" s="648">
        <v>21011205</v>
      </c>
      <c r="AB717" s="460"/>
      <c r="AE717" s="254">
        <v>6265</v>
      </c>
    </row>
    <row r="718" spans="27:31" x14ac:dyDescent="0.2">
      <c r="AA718" s="648">
        <v>21012001</v>
      </c>
      <c r="AB718" s="460"/>
      <c r="AE718" s="254">
        <v>6266</v>
      </c>
    </row>
    <row r="719" spans="27:31" x14ac:dyDescent="0.2">
      <c r="AA719" s="648">
        <v>21012005</v>
      </c>
      <c r="AB719" s="460"/>
      <c r="AE719" s="254">
        <v>6267</v>
      </c>
    </row>
    <row r="720" spans="27:31" x14ac:dyDescent="0.2">
      <c r="AA720" s="648">
        <v>21012101</v>
      </c>
      <c r="AB720" s="460"/>
      <c r="AE720" s="254">
        <v>6268</v>
      </c>
    </row>
    <row r="721" spans="27:31" x14ac:dyDescent="0.2">
      <c r="AA721" s="648">
        <v>21012105</v>
      </c>
      <c r="AB721" s="460"/>
      <c r="AE721" s="254">
        <v>6269</v>
      </c>
    </row>
    <row r="722" spans="27:31" x14ac:dyDescent="0.2">
      <c r="AA722" s="648">
        <v>21012201</v>
      </c>
      <c r="AB722" s="460"/>
      <c r="AE722" s="254">
        <v>7010</v>
      </c>
    </row>
    <row r="723" spans="27:31" x14ac:dyDescent="0.2">
      <c r="AA723" s="648">
        <v>21012205</v>
      </c>
      <c r="AB723" s="460"/>
      <c r="AE723" s="254">
        <v>7011</v>
      </c>
    </row>
    <row r="724" spans="27:31" x14ac:dyDescent="0.2">
      <c r="AA724" s="648">
        <v>21013001</v>
      </c>
      <c r="AB724" s="460"/>
      <c r="AE724" s="254">
        <v>7012</v>
      </c>
    </row>
    <row r="725" spans="27:31" x14ac:dyDescent="0.2">
      <c r="AA725" s="648">
        <v>21013005</v>
      </c>
      <c r="AB725" s="460"/>
      <c r="AE725" s="254">
        <v>7013</v>
      </c>
    </row>
    <row r="726" spans="27:31" x14ac:dyDescent="0.2">
      <c r="AA726" s="648">
        <v>21013101</v>
      </c>
      <c r="AB726" s="460"/>
      <c r="AE726" s="254">
        <v>7014</v>
      </c>
    </row>
    <row r="727" spans="27:31" x14ac:dyDescent="0.2">
      <c r="AA727" s="648">
        <v>21013105</v>
      </c>
      <c r="AB727" s="460"/>
      <c r="AE727" s="254">
        <v>7015</v>
      </c>
    </row>
    <row r="728" spans="27:31" x14ac:dyDescent="0.2">
      <c r="AA728" s="648">
        <v>21013201</v>
      </c>
      <c r="AB728" s="460"/>
      <c r="AE728" s="254">
        <v>7016</v>
      </c>
    </row>
    <row r="729" spans="27:31" x14ac:dyDescent="0.2">
      <c r="AA729" s="648">
        <v>21013205</v>
      </c>
      <c r="AB729" s="460"/>
      <c r="AE729" s="254">
        <v>7017</v>
      </c>
    </row>
    <row r="730" spans="27:31" x14ac:dyDescent="0.2">
      <c r="AA730" s="648">
        <v>21014001</v>
      </c>
      <c r="AB730" s="460"/>
      <c r="AE730" s="254">
        <v>7018</v>
      </c>
    </row>
    <row r="731" spans="27:31" x14ac:dyDescent="0.2">
      <c r="AA731" s="648">
        <v>21014005</v>
      </c>
      <c r="AB731" s="460"/>
      <c r="AE731" s="254">
        <v>7019</v>
      </c>
    </row>
    <row r="732" spans="27:31" x14ac:dyDescent="0.2">
      <c r="AA732" s="648">
        <v>21014101</v>
      </c>
      <c r="AE732" s="254">
        <v>7020</v>
      </c>
    </row>
    <row r="733" spans="27:31" x14ac:dyDescent="0.2">
      <c r="AA733" s="648">
        <v>21014105</v>
      </c>
      <c r="AE733" s="254">
        <v>7021</v>
      </c>
    </row>
    <row r="734" spans="27:31" x14ac:dyDescent="0.2">
      <c r="AA734" s="648">
        <v>21014201</v>
      </c>
      <c r="AE734" s="254">
        <v>7022</v>
      </c>
    </row>
    <row r="735" spans="27:31" x14ac:dyDescent="0.2">
      <c r="AA735" s="648">
        <v>21014205</v>
      </c>
      <c r="AE735" s="254">
        <v>7023</v>
      </c>
    </row>
    <row r="736" spans="27:31" x14ac:dyDescent="0.2">
      <c r="AA736" s="648">
        <v>21015001</v>
      </c>
      <c r="AE736" s="254">
        <v>7024</v>
      </c>
    </row>
    <row r="737" spans="27:31" x14ac:dyDescent="0.2">
      <c r="AA737" s="648">
        <v>21015005</v>
      </c>
      <c r="AE737" s="254">
        <v>7025</v>
      </c>
    </row>
    <row r="738" spans="27:31" x14ac:dyDescent="0.2">
      <c r="AA738" s="648">
        <v>21015101</v>
      </c>
      <c r="AE738" s="254">
        <v>7026</v>
      </c>
    </row>
    <row r="739" spans="27:31" x14ac:dyDescent="0.2">
      <c r="AA739" s="648">
        <v>21015105</v>
      </c>
      <c r="AE739" s="254">
        <v>7027</v>
      </c>
    </row>
    <row r="740" spans="27:31" x14ac:dyDescent="0.2">
      <c r="AA740" s="648">
        <v>21015201</v>
      </c>
      <c r="AE740" s="254">
        <v>7028</v>
      </c>
    </row>
    <row r="741" spans="27:31" x14ac:dyDescent="0.2">
      <c r="AA741" s="648">
        <v>21015205</v>
      </c>
      <c r="AE741" s="254">
        <v>7029</v>
      </c>
    </row>
    <row r="742" spans="27:31" x14ac:dyDescent="0.2">
      <c r="AA742" s="456">
        <v>21016001</v>
      </c>
      <c r="AE742" s="254">
        <v>7050</v>
      </c>
    </row>
    <row r="743" spans="27:31" x14ac:dyDescent="0.2">
      <c r="AA743" s="456">
        <v>21016005</v>
      </c>
      <c r="AE743" s="254">
        <v>7051</v>
      </c>
    </row>
    <row r="744" spans="27:31" x14ac:dyDescent="0.2">
      <c r="AA744" s="456">
        <v>21016101</v>
      </c>
      <c r="AE744" s="254">
        <v>7052</v>
      </c>
    </row>
    <row r="745" spans="27:31" x14ac:dyDescent="0.2">
      <c r="AA745" s="456">
        <v>21016105</v>
      </c>
      <c r="AE745" s="254">
        <v>7053</v>
      </c>
    </row>
    <row r="746" spans="27:31" x14ac:dyDescent="0.2">
      <c r="AA746" s="456">
        <v>21016201</v>
      </c>
      <c r="AE746" s="254">
        <v>7054</v>
      </c>
    </row>
    <row r="747" spans="27:31" x14ac:dyDescent="0.2">
      <c r="AA747" s="456">
        <v>21016205</v>
      </c>
      <c r="AE747" s="254">
        <v>7055</v>
      </c>
    </row>
    <row r="748" spans="27:31" x14ac:dyDescent="0.2">
      <c r="AA748" s="456">
        <v>21017001</v>
      </c>
      <c r="AE748" s="254">
        <v>7056</v>
      </c>
    </row>
    <row r="749" spans="27:31" x14ac:dyDescent="0.2">
      <c r="AA749" s="456">
        <v>21017005</v>
      </c>
      <c r="AE749" s="254">
        <v>7057</v>
      </c>
    </row>
    <row r="750" spans="27:31" x14ac:dyDescent="0.2">
      <c r="AA750" s="456">
        <v>21017101</v>
      </c>
      <c r="AE750" s="254">
        <v>7058</v>
      </c>
    </row>
    <row r="751" spans="27:31" x14ac:dyDescent="0.2">
      <c r="AA751" s="456">
        <v>21017105</v>
      </c>
      <c r="AE751" s="254">
        <v>7059</v>
      </c>
    </row>
    <row r="752" spans="27:31" x14ac:dyDescent="0.2">
      <c r="AA752" s="456">
        <v>21017201</v>
      </c>
      <c r="AE752" s="254">
        <v>7060</v>
      </c>
    </row>
    <row r="753" spans="27:31" x14ac:dyDescent="0.2">
      <c r="AA753" s="456">
        <v>21017205</v>
      </c>
      <c r="AE753" s="254">
        <v>7061</v>
      </c>
    </row>
    <row r="754" spans="27:31" x14ac:dyDescent="0.2">
      <c r="AA754" s="456">
        <v>21018001</v>
      </c>
      <c r="AE754" s="254">
        <v>7062</v>
      </c>
    </row>
    <row r="755" spans="27:31" x14ac:dyDescent="0.2">
      <c r="AA755" s="456">
        <v>21018005</v>
      </c>
      <c r="AE755" s="254">
        <v>7063</v>
      </c>
    </row>
    <row r="756" spans="27:31" x14ac:dyDescent="0.2">
      <c r="AA756" s="456">
        <v>21018101</v>
      </c>
      <c r="AE756" s="254">
        <v>7064</v>
      </c>
    </row>
    <row r="757" spans="27:31" x14ac:dyDescent="0.2">
      <c r="AA757" s="456">
        <v>21018105</v>
      </c>
      <c r="AE757" s="254">
        <v>7065</v>
      </c>
    </row>
    <row r="758" spans="27:31" x14ac:dyDescent="0.2">
      <c r="AA758" s="456">
        <v>21018201</v>
      </c>
      <c r="AE758" s="254">
        <v>7066</v>
      </c>
    </row>
    <row r="759" spans="27:31" x14ac:dyDescent="0.2">
      <c r="AA759" s="456">
        <v>21018205</v>
      </c>
      <c r="AE759" s="254">
        <v>7067</v>
      </c>
    </row>
    <row r="760" spans="27:31" x14ac:dyDescent="0.2">
      <c r="AA760" s="456">
        <v>21019001</v>
      </c>
      <c r="AE760" s="254">
        <v>7068</v>
      </c>
    </row>
    <row r="761" spans="27:31" x14ac:dyDescent="0.2">
      <c r="AA761" s="456">
        <v>21019005</v>
      </c>
      <c r="AE761" s="254">
        <v>7069</v>
      </c>
    </row>
    <row r="762" spans="27:31" x14ac:dyDescent="0.2">
      <c r="AA762" s="456">
        <v>21019101</v>
      </c>
      <c r="AE762" s="254">
        <v>7110</v>
      </c>
    </row>
    <row r="763" spans="27:31" x14ac:dyDescent="0.2">
      <c r="AA763" s="456">
        <v>21019105</v>
      </c>
      <c r="AE763" s="254">
        <v>7111</v>
      </c>
    </row>
    <row r="764" spans="27:31" x14ac:dyDescent="0.2">
      <c r="AA764" s="456">
        <v>21019201</v>
      </c>
      <c r="AE764" s="254">
        <v>7112</v>
      </c>
    </row>
    <row r="765" spans="27:31" x14ac:dyDescent="0.2">
      <c r="AA765" s="456">
        <v>21019205</v>
      </c>
      <c r="AE765" s="254">
        <v>7113</v>
      </c>
    </row>
    <row r="766" spans="27:31" x14ac:dyDescent="0.2">
      <c r="AA766" s="456">
        <v>21021001</v>
      </c>
      <c r="AE766" s="254">
        <v>7114</v>
      </c>
    </row>
    <row r="767" spans="27:31" x14ac:dyDescent="0.2">
      <c r="AA767" s="456">
        <v>21021001</v>
      </c>
      <c r="AE767" s="254">
        <v>7115</v>
      </c>
    </row>
    <row r="768" spans="27:31" x14ac:dyDescent="0.2">
      <c r="AA768" s="456">
        <v>21021005</v>
      </c>
      <c r="AE768" s="254">
        <v>7116</v>
      </c>
    </row>
    <row r="769" spans="27:31" x14ac:dyDescent="0.2">
      <c r="AA769" s="456">
        <v>21021005</v>
      </c>
      <c r="AE769" s="254">
        <v>7117</v>
      </c>
    </row>
    <row r="770" spans="27:31" x14ac:dyDescent="0.2">
      <c r="AA770" s="648">
        <v>21101001</v>
      </c>
      <c r="AE770" s="254">
        <v>7118</v>
      </c>
    </row>
    <row r="771" spans="27:31" x14ac:dyDescent="0.2">
      <c r="AA771" s="648">
        <v>21101005</v>
      </c>
      <c r="AE771" s="254">
        <v>7119</v>
      </c>
    </row>
    <row r="772" spans="27:31" x14ac:dyDescent="0.2">
      <c r="AA772" s="648">
        <v>21101101</v>
      </c>
      <c r="AE772" s="254">
        <v>7120</v>
      </c>
    </row>
    <row r="773" spans="27:31" x14ac:dyDescent="0.2">
      <c r="AA773" s="648">
        <v>21101105</v>
      </c>
      <c r="AE773" s="254">
        <v>7121</v>
      </c>
    </row>
    <row r="774" spans="27:31" x14ac:dyDescent="0.2">
      <c r="AA774" s="648">
        <v>21101201</v>
      </c>
      <c r="AE774" s="254">
        <v>7122</v>
      </c>
    </row>
    <row r="775" spans="27:31" x14ac:dyDescent="0.2">
      <c r="AA775" s="648">
        <v>21101205</v>
      </c>
      <c r="AE775" s="254">
        <v>7123</v>
      </c>
    </row>
    <row r="776" spans="27:31" x14ac:dyDescent="0.2">
      <c r="AA776" s="648">
        <v>21102001</v>
      </c>
      <c r="AE776" s="254">
        <v>7124</v>
      </c>
    </row>
    <row r="777" spans="27:31" x14ac:dyDescent="0.2">
      <c r="AA777" s="648">
        <v>21102005</v>
      </c>
      <c r="AE777" s="254">
        <v>7125</v>
      </c>
    </row>
    <row r="778" spans="27:31" x14ac:dyDescent="0.2">
      <c r="AA778" s="648">
        <v>21102101</v>
      </c>
      <c r="AE778" s="254">
        <v>7126</v>
      </c>
    </row>
    <row r="779" spans="27:31" x14ac:dyDescent="0.2">
      <c r="AA779" s="648">
        <v>21102105</v>
      </c>
      <c r="AE779" s="254">
        <v>7127</v>
      </c>
    </row>
    <row r="780" spans="27:31" x14ac:dyDescent="0.2">
      <c r="AA780" s="648">
        <v>21102201</v>
      </c>
      <c r="AE780" s="254">
        <v>7128</v>
      </c>
    </row>
    <row r="781" spans="27:31" x14ac:dyDescent="0.2">
      <c r="AA781" s="648">
        <v>21102205</v>
      </c>
      <c r="AE781" s="254">
        <v>7129</v>
      </c>
    </row>
    <row r="782" spans="27:31" x14ac:dyDescent="0.2">
      <c r="AA782" s="648">
        <v>21103001</v>
      </c>
      <c r="AE782" s="254">
        <v>7150</v>
      </c>
    </row>
    <row r="783" spans="27:31" x14ac:dyDescent="0.2">
      <c r="AA783" s="648">
        <v>21103005</v>
      </c>
      <c r="AE783" s="254">
        <v>7151</v>
      </c>
    </row>
    <row r="784" spans="27:31" x14ac:dyDescent="0.2">
      <c r="AA784" s="648">
        <v>21103101</v>
      </c>
      <c r="AE784" s="254">
        <v>7152</v>
      </c>
    </row>
    <row r="785" spans="27:31" x14ac:dyDescent="0.2">
      <c r="AA785" s="648">
        <v>21103105</v>
      </c>
      <c r="AE785" s="254">
        <v>7153</v>
      </c>
    </row>
    <row r="786" spans="27:31" x14ac:dyDescent="0.2">
      <c r="AA786" s="648">
        <v>21103201</v>
      </c>
      <c r="AE786" s="254">
        <v>7154</v>
      </c>
    </row>
    <row r="787" spans="27:31" x14ac:dyDescent="0.2">
      <c r="AA787" s="648">
        <v>21103205</v>
      </c>
      <c r="AE787" s="254">
        <v>7155</v>
      </c>
    </row>
    <row r="788" spans="27:31" x14ac:dyDescent="0.2">
      <c r="AA788" s="648">
        <v>21104001</v>
      </c>
      <c r="AE788" s="254">
        <v>7156</v>
      </c>
    </row>
    <row r="789" spans="27:31" x14ac:dyDescent="0.2">
      <c r="AA789" s="648">
        <v>21104005</v>
      </c>
      <c r="AE789" s="254">
        <v>7157</v>
      </c>
    </row>
    <row r="790" spans="27:31" x14ac:dyDescent="0.2">
      <c r="AA790" s="648">
        <v>21104101</v>
      </c>
      <c r="AE790" s="254">
        <v>7158</v>
      </c>
    </row>
    <row r="791" spans="27:31" x14ac:dyDescent="0.2">
      <c r="AA791" s="648">
        <v>21104105</v>
      </c>
      <c r="AE791" s="254">
        <v>7159</v>
      </c>
    </row>
    <row r="792" spans="27:31" x14ac:dyDescent="0.2">
      <c r="AA792" s="648">
        <v>21104201</v>
      </c>
      <c r="AE792" s="254">
        <v>7160</v>
      </c>
    </row>
    <row r="793" spans="27:31" x14ac:dyDescent="0.2">
      <c r="AA793" s="648">
        <v>21104205</v>
      </c>
      <c r="AE793" s="254">
        <v>7161</v>
      </c>
    </row>
    <row r="794" spans="27:31" x14ac:dyDescent="0.2">
      <c r="AA794" s="648">
        <v>21105001</v>
      </c>
      <c r="AE794" s="254">
        <v>7162</v>
      </c>
    </row>
    <row r="795" spans="27:31" x14ac:dyDescent="0.2">
      <c r="AA795" s="648">
        <v>21105005</v>
      </c>
      <c r="AE795" s="254">
        <v>7163</v>
      </c>
    </row>
    <row r="796" spans="27:31" x14ac:dyDescent="0.2">
      <c r="AA796" s="648">
        <v>21105101</v>
      </c>
      <c r="AE796" s="254">
        <v>7164</v>
      </c>
    </row>
    <row r="797" spans="27:31" x14ac:dyDescent="0.2">
      <c r="AA797" s="648">
        <v>21105105</v>
      </c>
      <c r="AE797" s="254">
        <v>7165</v>
      </c>
    </row>
    <row r="798" spans="27:31" x14ac:dyDescent="0.2">
      <c r="AA798" s="648">
        <v>21105201</v>
      </c>
      <c r="AE798" s="254">
        <v>7166</v>
      </c>
    </row>
    <row r="799" spans="27:31" x14ac:dyDescent="0.2">
      <c r="AA799" s="648">
        <v>21105205</v>
      </c>
      <c r="AE799" s="254">
        <v>7167</v>
      </c>
    </row>
    <row r="800" spans="27:31" x14ac:dyDescent="0.2">
      <c r="AA800" s="456">
        <v>21106001</v>
      </c>
      <c r="AE800" s="254">
        <v>7168</v>
      </c>
    </row>
    <row r="801" spans="27:31" x14ac:dyDescent="0.2">
      <c r="AA801" s="456">
        <v>21106005</v>
      </c>
      <c r="AE801" s="254">
        <v>7169</v>
      </c>
    </row>
    <row r="802" spans="27:31" x14ac:dyDescent="0.2">
      <c r="AA802" s="456">
        <v>21106101</v>
      </c>
      <c r="AE802" s="254">
        <v>7210</v>
      </c>
    </row>
    <row r="803" spans="27:31" x14ac:dyDescent="0.2">
      <c r="AA803" s="456">
        <v>21106105</v>
      </c>
      <c r="AE803" s="254">
        <v>7211</v>
      </c>
    </row>
    <row r="804" spans="27:31" x14ac:dyDescent="0.2">
      <c r="AA804" s="456">
        <v>21106201</v>
      </c>
      <c r="AE804" s="254">
        <v>7212</v>
      </c>
    </row>
    <row r="805" spans="27:31" x14ac:dyDescent="0.2">
      <c r="AA805" s="456">
        <v>21106205</v>
      </c>
      <c r="AE805" s="254">
        <v>7213</v>
      </c>
    </row>
    <row r="806" spans="27:31" x14ac:dyDescent="0.2">
      <c r="AA806" s="456">
        <v>21107001</v>
      </c>
      <c r="AE806" s="254">
        <v>7214</v>
      </c>
    </row>
    <row r="807" spans="27:31" x14ac:dyDescent="0.2">
      <c r="AA807" s="456">
        <v>21107005</v>
      </c>
      <c r="AE807" s="254">
        <v>7215</v>
      </c>
    </row>
    <row r="808" spans="27:31" x14ac:dyDescent="0.2">
      <c r="AA808" s="456">
        <v>21107101</v>
      </c>
      <c r="AE808" s="254">
        <v>7216</v>
      </c>
    </row>
    <row r="809" spans="27:31" x14ac:dyDescent="0.2">
      <c r="AA809" s="456">
        <v>21107105</v>
      </c>
      <c r="AE809" s="254">
        <v>7217</v>
      </c>
    </row>
    <row r="810" spans="27:31" x14ac:dyDescent="0.2">
      <c r="AA810" s="456">
        <v>21107201</v>
      </c>
      <c r="AE810" s="254">
        <v>7218</v>
      </c>
    </row>
    <row r="811" spans="27:31" x14ac:dyDescent="0.2">
      <c r="AA811" s="456">
        <v>21107205</v>
      </c>
      <c r="AE811" s="254">
        <v>7219</v>
      </c>
    </row>
    <row r="812" spans="27:31" x14ac:dyDescent="0.2">
      <c r="AA812" s="456">
        <v>21108001</v>
      </c>
      <c r="AE812" s="254">
        <v>7220</v>
      </c>
    </row>
    <row r="813" spans="27:31" x14ac:dyDescent="0.2">
      <c r="AA813" s="456">
        <v>21108005</v>
      </c>
      <c r="AE813" s="254">
        <v>7221</v>
      </c>
    </row>
    <row r="814" spans="27:31" x14ac:dyDescent="0.2">
      <c r="AA814" s="456">
        <v>21108101</v>
      </c>
      <c r="AE814" s="254">
        <v>7222</v>
      </c>
    </row>
    <row r="815" spans="27:31" x14ac:dyDescent="0.2">
      <c r="AA815" s="456">
        <v>21108105</v>
      </c>
      <c r="AE815" s="254">
        <v>7223</v>
      </c>
    </row>
    <row r="816" spans="27:31" x14ac:dyDescent="0.2">
      <c r="AA816" s="456">
        <v>21108201</v>
      </c>
      <c r="AE816" s="254">
        <v>7224</v>
      </c>
    </row>
    <row r="817" spans="27:31" x14ac:dyDescent="0.2">
      <c r="AA817" s="456">
        <v>21108205</v>
      </c>
      <c r="AE817" s="254">
        <v>7225</v>
      </c>
    </row>
    <row r="818" spans="27:31" x14ac:dyDescent="0.2">
      <c r="AA818" s="456">
        <v>21109001</v>
      </c>
      <c r="AE818" s="254">
        <v>7226</v>
      </c>
    </row>
    <row r="819" spans="27:31" x14ac:dyDescent="0.2">
      <c r="AA819" s="456">
        <v>21109005</v>
      </c>
      <c r="AE819" s="254">
        <v>7227</v>
      </c>
    </row>
    <row r="820" spans="27:31" x14ac:dyDescent="0.2">
      <c r="AA820" s="456">
        <v>21109101</v>
      </c>
      <c r="AE820" s="254">
        <v>7228</v>
      </c>
    </row>
    <row r="821" spans="27:31" x14ac:dyDescent="0.2">
      <c r="AA821" s="456">
        <v>21109105</v>
      </c>
      <c r="AE821" s="254">
        <v>7229</v>
      </c>
    </row>
    <row r="822" spans="27:31" x14ac:dyDescent="0.2">
      <c r="AA822" s="456">
        <v>21109201</v>
      </c>
      <c r="AE822" s="254">
        <v>7250</v>
      </c>
    </row>
    <row r="823" spans="27:31" x14ac:dyDescent="0.2">
      <c r="AA823" s="456">
        <v>21109205</v>
      </c>
      <c r="AE823" s="254">
        <v>7251</v>
      </c>
    </row>
    <row r="824" spans="27:31" x14ac:dyDescent="0.2">
      <c r="AA824" s="456">
        <v>21111001</v>
      </c>
      <c r="AE824" s="254">
        <v>7252</v>
      </c>
    </row>
    <row r="825" spans="27:31" x14ac:dyDescent="0.2">
      <c r="AA825" s="456">
        <v>21111005</v>
      </c>
      <c r="AE825" s="254">
        <v>7253</v>
      </c>
    </row>
    <row r="826" spans="27:31" x14ac:dyDescent="0.2">
      <c r="AA826" s="648">
        <v>21111101</v>
      </c>
      <c r="AE826" s="254">
        <v>7254</v>
      </c>
    </row>
    <row r="827" spans="27:31" x14ac:dyDescent="0.2">
      <c r="AA827" s="648">
        <v>21111105</v>
      </c>
      <c r="AE827" s="254">
        <v>7255</v>
      </c>
    </row>
    <row r="828" spans="27:31" x14ac:dyDescent="0.2">
      <c r="AA828" s="648">
        <v>21111201</v>
      </c>
      <c r="AE828" s="254">
        <v>7256</v>
      </c>
    </row>
    <row r="829" spans="27:31" x14ac:dyDescent="0.2">
      <c r="AA829" s="648">
        <v>21111205</v>
      </c>
      <c r="AE829" s="254">
        <v>7257</v>
      </c>
    </row>
    <row r="830" spans="27:31" x14ac:dyDescent="0.2">
      <c r="AA830" s="648">
        <v>21112001</v>
      </c>
      <c r="AE830" s="254">
        <v>7258</v>
      </c>
    </row>
    <row r="831" spans="27:31" x14ac:dyDescent="0.2">
      <c r="AA831" s="648">
        <v>21112005</v>
      </c>
      <c r="AE831" s="254">
        <v>7259</v>
      </c>
    </row>
    <row r="832" spans="27:31" x14ac:dyDescent="0.2">
      <c r="AA832" s="648">
        <v>21112101</v>
      </c>
      <c r="AE832" s="254">
        <v>7260</v>
      </c>
    </row>
    <row r="833" spans="27:31" x14ac:dyDescent="0.2">
      <c r="AA833" s="648">
        <v>21112105</v>
      </c>
      <c r="AE833" s="254">
        <v>7261</v>
      </c>
    </row>
    <row r="834" spans="27:31" x14ac:dyDescent="0.2">
      <c r="AA834" s="648">
        <v>21112201</v>
      </c>
      <c r="AE834" s="254">
        <v>7262</v>
      </c>
    </row>
    <row r="835" spans="27:31" x14ac:dyDescent="0.2">
      <c r="AA835" s="648">
        <v>21112205</v>
      </c>
      <c r="AE835" s="254">
        <v>7263</v>
      </c>
    </row>
    <row r="836" spans="27:31" x14ac:dyDescent="0.2">
      <c r="AA836" s="648">
        <v>21113001</v>
      </c>
      <c r="AE836" s="254">
        <v>7264</v>
      </c>
    </row>
    <row r="837" spans="27:31" x14ac:dyDescent="0.2">
      <c r="AA837" s="648">
        <v>21113005</v>
      </c>
      <c r="AE837" s="254">
        <v>7265</v>
      </c>
    </row>
    <row r="838" spans="27:31" x14ac:dyDescent="0.2">
      <c r="AA838" s="648">
        <v>21113101</v>
      </c>
      <c r="AE838" s="254">
        <v>7266</v>
      </c>
    </row>
    <row r="839" spans="27:31" x14ac:dyDescent="0.2">
      <c r="AA839" s="648">
        <v>21113105</v>
      </c>
      <c r="AE839" s="254">
        <v>7267</v>
      </c>
    </row>
    <row r="840" spans="27:31" x14ac:dyDescent="0.2">
      <c r="AA840" s="648">
        <v>21113201</v>
      </c>
      <c r="AE840" s="254">
        <v>7268</v>
      </c>
    </row>
    <row r="841" spans="27:31" x14ac:dyDescent="0.2">
      <c r="AA841" s="648">
        <v>21113205</v>
      </c>
      <c r="AE841" s="254">
        <v>7269</v>
      </c>
    </row>
    <row r="842" spans="27:31" x14ac:dyDescent="0.2">
      <c r="AA842" s="648">
        <v>21114001</v>
      </c>
      <c r="AE842" s="254">
        <v>8010</v>
      </c>
    </row>
    <row r="843" spans="27:31" x14ac:dyDescent="0.2">
      <c r="AA843" s="648">
        <v>21114005</v>
      </c>
      <c r="AE843" s="254">
        <v>8011</v>
      </c>
    </row>
    <row r="844" spans="27:31" x14ac:dyDescent="0.2">
      <c r="AA844" s="648">
        <v>21114101</v>
      </c>
      <c r="AE844" s="254">
        <v>8012</v>
      </c>
    </row>
    <row r="845" spans="27:31" x14ac:dyDescent="0.2">
      <c r="AA845" s="648">
        <v>21114105</v>
      </c>
      <c r="AE845" s="254">
        <v>8013</v>
      </c>
    </row>
    <row r="846" spans="27:31" x14ac:dyDescent="0.2">
      <c r="AA846" s="648">
        <v>21114201</v>
      </c>
      <c r="AE846" s="254">
        <v>8014</v>
      </c>
    </row>
    <row r="847" spans="27:31" x14ac:dyDescent="0.2">
      <c r="AA847" s="648">
        <v>21114205</v>
      </c>
      <c r="AE847" s="254">
        <v>8015</v>
      </c>
    </row>
    <row r="848" spans="27:31" x14ac:dyDescent="0.2">
      <c r="AA848" s="648">
        <v>21115001</v>
      </c>
      <c r="AE848" s="254">
        <v>8016</v>
      </c>
    </row>
    <row r="849" spans="27:31" x14ac:dyDescent="0.2">
      <c r="AA849" s="648">
        <v>21115005</v>
      </c>
      <c r="AE849" s="254">
        <v>8017</v>
      </c>
    </row>
    <row r="850" spans="27:31" x14ac:dyDescent="0.2">
      <c r="AA850" s="648">
        <v>21115101</v>
      </c>
      <c r="AE850" s="254">
        <v>8018</v>
      </c>
    </row>
    <row r="851" spans="27:31" x14ac:dyDescent="0.2">
      <c r="AA851" s="648">
        <v>21115105</v>
      </c>
      <c r="AE851" s="254">
        <v>8019</v>
      </c>
    </row>
    <row r="852" spans="27:31" x14ac:dyDescent="0.2">
      <c r="AA852" s="648">
        <v>21115201</v>
      </c>
      <c r="AE852" s="254">
        <v>8020</v>
      </c>
    </row>
    <row r="853" spans="27:31" x14ac:dyDescent="0.2">
      <c r="AA853" s="648">
        <v>21115205</v>
      </c>
      <c r="AE853" s="254">
        <v>8021</v>
      </c>
    </row>
    <row r="854" spans="27:31" x14ac:dyDescent="0.2">
      <c r="AA854" s="456">
        <v>21116001</v>
      </c>
      <c r="AE854" s="254">
        <v>8022</v>
      </c>
    </row>
    <row r="855" spans="27:31" x14ac:dyDescent="0.2">
      <c r="AA855" s="456">
        <v>21116005</v>
      </c>
      <c r="AE855" s="254">
        <v>8023</v>
      </c>
    </row>
    <row r="856" spans="27:31" x14ac:dyDescent="0.2">
      <c r="AA856" s="456">
        <v>21116101</v>
      </c>
      <c r="AE856" s="254">
        <v>8024</v>
      </c>
    </row>
    <row r="857" spans="27:31" x14ac:dyDescent="0.2">
      <c r="AA857" s="456">
        <v>21116105</v>
      </c>
      <c r="AE857" s="254">
        <v>8025</v>
      </c>
    </row>
    <row r="858" spans="27:31" x14ac:dyDescent="0.2">
      <c r="AA858" s="456">
        <v>21116201</v>
      </c>
      <c r="AE858" s="254">
        <v>8026</v>
      </c>
    </row>
    <row r="859" spans="27:31" x14ac:dyDescent="0.2">
      <c r="AA859" s="456">
        <v>21116205</v>
      </c>
      <c r="AE859" s="254">
        <v>8027</v>
      </c>
    </row>
    <row r="860" spans="27:31" x14ac:dyDescent="0.2">
      <c r="AA860" s="456">
        <v>21117001</v>
      </c>
      <c r="AE860" s="254">
        <v>8028</v>
      </c>
    </row>
    <row r="861" spans="27:31" x14ac:dyDescent="0.2">
      <c r="AA861" s="456">
        <v>21117005</v>
      </c>
      <c r="AE861" s="254">
        <v>8029</v>
      </c>
    </row>
    <row r="862" spans="27:31" x14ac:dyDescent="0.2">
      <c r="AA862" s="456">
        <v>21117101</v>
      </c>
      <c r="AE862" s="254">
        <v>8050</v>
      </c>
    </row>
    <row r="863" spans="27:31" x14ac:dyDescent="0.2">
      <c r="AA863" s="456">
        <v>21117105</v>
      </c>
      <c r="AE863" s="254">
        <v>8051</v>
      </c>
    </row>
    <row r="864" spans="27:31" x14ac:dyDescent="0.2">
      <c r="AA864" s="456">
        <v>21117201</v>
      </c>
      <c r="AE864" s="254">
        <v>8052</v>
      </c>
    </row>
    <row r="865" spans="27:31" x14ac:dyDescent="0.2">
      <c r="AA865" s="456">
        <v>21117205</v>
      </c>
      <c r="AE865" s="254">
        <v>8053</v>
      </c>
    </row>
    <row r="866" spans="27:31" x14ac:dyDescent="0.2">
      <c r="AA866" s="456">
        <v>21118001</v>
      </c>
      <c r="AE866" s="254">
        <v>8054</v>
      </c>
    </row>
    <row r="867" spans="27:31" x14ac:dyDescent="0.2">
      <c r="AA867" s="456">
        <v>21118005</v>
      </c>
      <c r="AE867" s="254">
        <v>8055</v>
      </c>
    </row>
    <row r="868" spans="27:31" x14ac:dyDescent="0.2">
      <c r="AA868" s="456">
        <v>21118101</v>
      </c>
      <c r="AE868" s="254">
        <v>8056</v>
      </c>
    </row>
    <row r="869" spans="27:31" x14ac:dyDescent="0.2">
      <c r="AA869" s="456">
        <v>21118105</v>
      </c>
      <c r="AE869" s="254">
        <v>8057</v>
      </c>
    </row>
    <row r="870" spans="27:31" x14ac:dyDescent="0.2">
      <c r="AA870" s="456">
        <v>21118201</v>
      </c>
      <c r="AE870" s="254">
        <v>8058</v>
      </c>
    </row>
    <row r="871" spans="27:31" x14ac:dyDescent="0.2">
      <c r="AA871" s="456">
        <v>21118205</v>
      </c>
      <c r="AE871" s="254">
        <v>8059</v>
      </c>
    </row>
    <row r="872" spans="27:31" x14ac:dyDescent="0.2">
      <c r="AA872" s="456">
        <v>21119001</v>
      </c>
      <c r="AE872" s="254">
        <v>8060</v>
      </c>
    </row>
    <row r="873" spans="27:31" x14ac:dyDescent="0.2">
      <c r="AA873" s="456">
        <v>21119005</v>
      </c>
      <c r="AE873" s="254">
        <v>8061</v>
      </c>
    </row>
    <row r="874" spans="27:31" x14ac:dyDescent="0.2">
      <c r="AA874" s="456">
        <v>21119101</v>
      </c>
      <c r="AE874" s="254">
        <v>8062</v>
      </c>
    </row>
    <row r="875" spans="27:31" x14ac:dyDescent="0.2">
      <c r="AA875" s="456">
        <v>21119105</v>
      </c>
      <c r="AE875" s="254">
        <v>8063</v>
      </c>
    </row>
    <row r="876" spans="27:31" x14ac:dyDescent="0.2">
      <c r="AA876" s="456">
        <v>21119201</v>
      </c>
      <c r="AE876" s="254">
        <v>8064</v>
      </c>
    </row>
    <row r="877" spans="27:31" x14ac:dyDescent="0.2">
      <c r="AA877" s="456">
        <v>21119205</v>
      </c>
      <c r="AE877" s="254">
        <v>8065</v>
      </c>
    </row>
    <row r="878" spans="27:31" x14ac:dyDescent="0.2">
      <c r="AA878" s="648">
        <v>21201001</v>
      </c>
      <c r="AE878" s="254">
        <v>8066</v>
      </c>
    </row>
    <row r="879" spans="27:31" x14ac:dyDescent="0.2">
      <c r="AA879" s="648">
        <v>21201005</v>
      </c>
      <c r="AE879" s="254">
        <v>8067</v>
      </c>
    </row>
    <row r="880" spans="27:31" x14ac:dyDescent="0.2">
      <c r="AA880" s="648">
        <v>21201101</v>
      </c>
      <c r="AE880" s="254">
        <v>8068</v>
      </c>
    </row>
    <row r="881" spans="27:31" x14ac:dyDescent="0.2">
      <c r="AA881" s="648">
        <v>21201105</v>
      </c>
      <c r="AE881" s="254">
        <v>8069</v>
      </c>
    </row>
    <row r="882" spans="27:31" x14ac:dyDescent="0.2">
      <c r="AA882" s="648">
        <v>21201201</v>
      </c>
      <c r="AE882" s="254">
        <v>8110</v>
      </c>
    </row>
    <row r="883" spans="27:31" x14ac:dyDescent="0.2">
      <c r="AA883" s="648">
        <v>21201205</v>
      </c>
      <c r="AE883" s="254">
        <v>8111</v>
      </c>
    </row>
    <row r="884" spans="27:31" x14ac:dyDescent="0.2">
      <c r="AA884" s="648">
        <v>21202001</v>
      </c>
      <c r="AE884" s="254">
        <v>8112</v>
      </c>
    </row>
    <row r="885" spans="27:31" x14ac:dyDescent="0.2">
      <c r="AA885" s="648">
        <v>21202005</v>
      </c>
      <c r="AE885" s="254">
        <v>8113</v>
      </c>
    </row>
    <row r="886" spans="27:31" x14ac:dyDescent="0.2">
      <c r="AA886" s="648">
        <v>21202101</v>
      </c>
      <c r="AE886" s="254">
        <v>8114</v>
      </c>
    </row>
    <row r="887" spans="27:31" x14ac:dyDescent="0.2">
      <c r="AA887" s="648">
        <v>21202105</v>
      </c>
      <c r="AE887" s="254">
        <v>8115</v>
      </c>
    </row>
    <row r="888" spans="27:31" x14ac:dyDescent="0.2">
      <c r="AA888" s="648">
        <v>21202201</v>
      </c>
      <c r="AE888" s="254">
        <v>8116</v>
      </c>
    </row>
    <row r="889" spans="27:31" x14ac:dyDescent="0.2">
      <c r="AA889" s="648">
        <v>21202205</v>
      </c>
      <c r="AE889" s="254">
        <v>8117</v>
      </c>
    </row>
    <row r="890" spans="27:31" x14ac:dyDescent="0.2">
      <c r="AA890" s="648">
        <v>21203001</v>
      </c>
      <c r="AE890" s="254">
        <v>8118</v>
      </c>
    </row>
    <row r="891" spans="27:31" x14ac:dyDescent="0.2">
      <c r="AA891" s="648">
        <v>21203005</v>
      </c>
      <c r="AE891" s="254">
        <v>8119</v>
      </c>
    </row>
    <row r="892" spans="27:31" x14ac:dyDescent="0.2">
      <c r="AA892" s="648">
        <v>21203101</v>
      </c>
      <c r="AE892" s="254">
        <v>8120</v>
      </c>
    </row>
    <row r="893" spans="27:31" x14ac:dyDescent="0.2">
      <c r="AA893" s="648">
        <v>21203105</v>
      </c>
      <c r="AE893" s="254">
        <v>8121</v>
      </c>
    </row>
    <row r="894" spans="27:31" x14ac:dyDescent="0.2">
      <c r="AA894" s="648">
        <v>21203201</v>
      </c>
      <c r="AE894" s="254">
        <v>8122</v>
      </c>
    </row>
    <row r="895" spans="27:31" x14ac:dyDescent="0.2">
      <c r="AA895" s="648">
        <v>21203205</v>
      </c>
      <c r="AE895" s="254">
        <v>8123</v>
      </c>
    </row>
    <row r="896" spans="27:31" x14ac:dyDescent="0.2">
      <c r="AA896" s="648">
        <v>21204001</v>
      </c>
      <c r="AE896" s="254">
        <v>8124</v>
      </c>
    </row>
    <row r="897" spans="27:31" x14ac:dyDescent="0.2">
      <c r="AA897" s="648">
        <v>21204005</v>
      </c>
      <c r="AE897" s="254">
        <v>8125</v>
      </c>
    </row>
    <row r="898" spans="27:31" x14ac:dyDescent="0.2">
      <c r="AA898" s="648">
        <v>21204101</v>
      </c>
      <c r="AE898" s="254">
        <v>8126</v>
      </c>
    </row>
    <row r="899" spans="27:31" x14ac:dyDescent="0.2">
      <c r="AA899" s="648">
        <v>21204105</v>
      </c>
      <c r="AE899" s="254">
        <v>8127</v>
      </c>
    </row>
    <row r="900" spans="27:31" x14ac:dyDescent="0.2">
      <c r="AA900" s="648">
        <v>21204201</v>
      </c>
      <c r="AE900" s="254">
        <v>8128</v>
      </c>
    </row>
    <row r="901" spans="27:31" x14ac:dyDescent="0.2">
      <c r="AA901" s="648">
        <v>21204205</v>
      </c>
      <c r="AE901" s="254">
        <v>8129</v>
      </c>
    </row>
    <row r="902" spans="27:31" x14ac:dyDescent="0.2">
      <c r="AA902" s="648">
        <v>21205001</v>
      </c>
      <c r="AE902" s="254">
        <v>8150</v>
      </c>
    </row>
    <row r="903" spans="27:31" x14ac:dyDescent="0.2">
      <c r="AA903" s="648">
        <v>21205005</v>
      </c>
      <c r="AE903" s="254">
        <v>8151</v>
      </c>
    </row>
    <row r="904" spans="27:31" x14ac:dyDescent="0.2">
      <c r="AA904" s="648">
        <v>21205101</v>
      </c>
      <c r="AE904" s="254">
        <v>8152</v>
      </c>
    </row>
    <row r="905" spans="27:31" x14ac:dyDescent="0.2">
      <c r="AA905" s="648">
        <v>21205105</v>
      </c>
      <c r="AE905" s="254">
        <v>8153</v>
      </c>
    </row>
    <row r="906" spans="27:31" x14ac:dyDescent="0.2">
      <c r="AA906" s="648">
        <v>21205201</v>
      </c>
      <c r="AE906" s="254">
        <v>8154</v>
      </c>
    </row>
    <row r="907" spans="27:31" x14ac:dyDescent="0.2">
      <c r="AA907" s="648">
        <v>21205205</v>
      </c>
      <c r="AE907" s="254">
        <v>8155</v>
      </c>
    </row>
    <row r="908" spans="27:31" x14ac:dyDescent="0.2">
      <c r="AA908" s="456">
        <v>21206001</v>
      </c>
      <c r="AE908" s="254">
        <v>8156</v>
      </c>
    </row>
    <row r="909" spans="27:31" x14ac:dyDescent="0.2">
      <c r="AA909" s="456">
        <v>21206005</v>
      </c>
      <c r="AE909" s="254">
        <v>8157</v>
      </c>
    </row>
    <row r="910" spans="27:31" x14ac:dyDescent="0.2">
      <c r="AA910" s="456">
        <v>21206101</v>
      </c>
      <c r="AE910" s="254">
        <v>8158</v>
      </c>
    </row>
    <row r="911" spans="27:31" x14ac:dyDescent="0.2">
      <c r="AA911" s="456">
        <v>21206105</v>
      </c>
      <c r="AE911" s="254">
        <v>8159</v>
      </c>
    </row>
    <row r="912" spans="27:31" x14ac:dyDescent="0.2">
      <c r="AA912" s="456">
        <v>21206201</v>
      </c>
      <c r="AE912" s="254">
        <v>8160</v>
      </c>
    </row>
    <row r="913" spans="27:31" x14ac:dyDescent="0.2">
      <c r="AA913" s="456">
        <v>21206205</v>
      </c>
      <c r="AE913" s="254">
        <v>8161</v>
      </c>
    </row>
    <row r="914" spans="27:31" x14ac:dyDescent="0.2">
      <c r="AA914" s="456">
        <v>21207001</v>
      </c>
      <c r="AE914" s="254">
        <v>8162</v>
      </c>
    </row>
    <row r="915" spans="27:31" x14ac:dyDescent="0.2">
      <c r="AA915" s="456">
        <v>21207005</v>
      </c>
      <c r="AE915" s="254">
        <v>8163</v>
      </c>
    </row>
    <row r="916" spans="27:31" x14ac:dyDescent="0.2">
      <c r="AA916" s="456">
        <v>21207101</v>
      </c>
      <c r="AE916" s="254">
        <v>8164</v>
      </c>
    </row>
    <row r="917" spans="27:31" x14ac:dyDescent="0.2">
      <c r="AA917" s="456">
        <v>21207105</v>
      </c>
      <c r="AE917" s="254">
        <v>8165</v>
      </c>
    </row>
    <row r="918" spans="27:31" x14ac:dyDescent="0.2">
      <c r="AA918" s="456">
        <v>21207201</v>
      </c>
      <c r="AE918" s="254">
        <v>8166</v>
      </c>
    </row>
    <row r="919" spans="27:31" x14ac:dyDescent="0.2">
      <c r="AA919" s="456">
        <v>21207205</v>
      </c>
      <c r="AE919" s="254">
        <v>8167</v>
      </c>
    </row>
    <row r="920" spans="27:31" x14ac:dyDescent="0.2">
      <c r="AA920" s="456">
        <v>21208001</v>
      </c>
      <c r="AE920" s="254">
        <v>8168</v>
      </c>
    </row>
    <row r="921" spans="27:31" x14ac:dyDescent="0.2">
      <c r="AA921" s="456">
        <v>21208005</v>
      </c>
      <c r="AE921" s="254">
        <v>8169</v>
      </c>
    </row>
    <row r="922" spans="27:31" x14ac:dyDescent="0.2">
      <c r="AA922" s="456">
        <v>21208101</v>
      </c>
      <c r="AE922" s="254">
        <v>8210</v>
      </c>
    </row>
    <row r="923" spans="27:31" x14ac:dyDescent="0.2">
      <c r="AA923" s="456">
        <v>21208105</v>
      </c>
      <c r="AE923" s="254">
        <v>8211</v>
      </c>
    </row>
    <row r="924" spans="27:31" x14ac:dyDescent="0.2">
      <c r="AA924" s="456">
        <v>21208201</v>
      </c>
      <c r="AE924" s="254">
        <v>8212</v>
      </c>
    </row>
    <row r="925" spans="27:31" x14ac:dyDescent="0.2">
      <c r="AA925" s="456">
        <v>21208205</v>
      </c>
      <c r="AE925" s="254">
        <v>8213</v>
      </c>
    </row>
    <row r="926" spans="27:31" x14ac:dyDescent="0.2">
      <c r="AA926" s="456">
        <v>21209001</v>
      </c>
      <c r="AE926" s="254">
        <v>8214</v>
      </c>
    </row>
    <row r="927" spans="27:31" x14ac:dyDescent="0.2">
      <c r="AA927" s="456">
        <v>21209005</v>
      </c>
      <c r="AE927" s="254">
        <v>8215</v>
      </c>
    </row>
    <row r="928" spans="27:31" x14ac:dyDescent="0.2">
      <c r="AA928" s="456">
        <v>21209101</v>
      </c>
      <c r="AE928" s="254">
        <v>8216</v>
      </c>
    </row>
    <row r="929" spans="27:31" x14ac:dyDescent="0.2">
      <c r="AA929" s="456">
        <v>21209105</v>
      </c>
      <c r="AE929" s="254">
        <v>8217</v>
      </c>
    </row>
    <row r="930" spans="27:31" x14ac:dyDescent="0.2">
      <c r="AA930" s="456">
        <v>21209201</v>
      </c>
      <c r="AE930" s="254">
        <v>8218</v>
      </c>
    </row>
    <row r="931" spans="27:31" x14ac:dyDescent="0.2">
      <c r="AA931" s="456">
        <v>21209205</v>
      </c>
      <c r="AE931" s="254">
        <v>8219</v>
      </c>
    </row>
    <row r="932" spans="27:31" x14ac:dyDescent="0.2">
      <c r="AA932" s="456">
        <v>21211001</v>
      </c>
      <c r="AE932" s="254">
        <v>8220</v>
      </c>
    </row>
    <row r="933" spans="27:31" x14ac:dyDescent="0.2">
      <c r="AA933" s="456">
        <v>21211005</v>
      </c>
      <c r="AE933" s="254">
        <v>8221</v>
      </c>
    </row>
    <row r="934" spans="27:31" x14ac:dyDescent="0.2">
      <c r="AA934" s="648">
        <v>21211101</v>
      </c>
      <c r="AE934" s="254">
        <v>8222</v>
      </c>
    </row>
    <row r="935" spans="27:31" x14ac:dyDescent="0.2">
      <c r="AA935" s="648">
        <v>21211105</v>
      </c>
      <c r="AE935" s="254">
        <v>8223</v>
      </c>
    </row>
    <row r="936" spans="27:31" x14ac:dyDescent="0.2">
      <c r="AA936" s="648">
        <v>21211201</v>
      </c>
      <c r="AE936" s="254">
        <v>8224</v>
      </c>
    </row>
    <row r="937" spans="27:31" x14ac:dyDescent="0.2">
      <c r="AA937" s="648">
        <v>21211205</v>
      </c>
      <c r="AE937" s="254">
        <v>8225</v>
      </c>
    </row>
    <row r="938" spans="27:31" x14ac:dyDescent="0.2">
      <c r="AA938" s="648">
        <v>21212001</v>
      </c>
      <c r="AE938" s="254">
        <v>8226</v>
      </c>
    </row>
    <row r="939" spans="27:31" x14ac:dyDescent="0.2">
      <c r="AA939" s="648">
        <v>21212005</v>
      </c>
      <c r="AE939" s="254">
        <v>8227</v>
      </c>
    </row>
    <row r="940" spans="27:31" x14ac:dyDescent="0.2">
      <c r="AA940" s="648">
        <v>21212101</v>
      </c>
      <c r="AE940" s="254">
        <v>8228</v>
      </c>
    </row>
    <row r="941" spans="27:31" x14ac:dyDescent="0.2">
      <c r="AA941" s="648">
        <v>21212105</v>
      </c>
      <c r="AE941" s="254">
        <v>8229</v>
      </c>
    </row>
    <row r="942" spans="27:31" x14ac:dyDescent="0.2">
      <c r="AA942" s="648">
        <v>21212201</v>
      </c>
      <c r="AE942" s="254">
        <v>8250</v>
      </c>
    </row>
    <row r="943" spans="27:31" x14ac:dyDescent="0.2">
      <c r="AA943" s="648">
        <v>21212205</v>
      </c>
      <c r="AE943" s="254">
        <v>8251</v>
      </c>
    </row>
    <row r="944" spans="27:31" x14ac:dyDescent="0.2">
      <c r="AA944" s="648">
        <v>21213001</v>
      </c>
      <c r="AE944" s="254">
        <v>8252</v>
      </c>
    </row>
    <row r="945" spans="27:31" x14ac:dyDescent="0.2">
      <c r="AA945" s="648">
        <v>21213005</v>
      </c>
      <c r="AE945" s="254">
        <v>8253</v>
      </c>
    </row>
    <row r="946" spans="27:31" x14ac:dyDescent="0.2">
      <c r="AA946" s="648">
        <v>21213101</v>
      </c>
      <c r="AE946" s="254">
        <v>8254</v>
      </c>
    </row>
    <row r="947" spans="27:31" x14ac:dyDescent="0.2">
      <c r="AA947" s="648">
        <v>21213105</v>
      </c>
      <c r="AE947" s="254">
        <v>8255</v>
      </c>
    </row>
    <row r="948" spans="27:31" x14ac:dyDescent="0.2">
      <c r="AA948" s="648">
        <v>21213201</v>
      </c>
      <c r="AE948" s="254">
        <v>8256</v>
      </c>
    </row>
    <row r="949" spans="27:31" x14ac:dyDescent="0.2">
      <c r="AA949" s="648">
        <v>21213205</v>
      </c>
      <c r="AE949" s="254">
        <v>8257</v>
      </c>
    </row>
    <row r="950" spans="27:31" x14ac:dyDescent="0.2">
      <c r="AA950" s="648">
        <v>21214001</v>
      </c>
      <c r="AE950" s="254">
        <v>8258</v>
      </c>
    </row>
    <row r="951" spans="27:31" x14ac:dyDescent="0.2">
      <c r="AA951" s="648">
        <v>21214005</v>
      </c>
      <c r="AE951" s="254">
        <v>8259</v>
      </c>
    </row>
    <row r="952" spans="27:31" x14ac:dyDescent="0.2">
      <c r="AA952" s="648">
        <v>21214101</v>
      </c>
      <c r="AE952" s="254">
        <v>8260</v>
      </c>
    </row>
    <row r="953" spans="27:31" x14ac:dyDescent="0.2">
      <c r="AA953" s="648">
        <v>21214105</v>
      </c>
      <c r="AE953" s="254">
        <v>8261</v>
      </c>
    </row>
    <row r="954" spans="27:31" x14ac:dyDescent="0.2">
      <c r="AA954" s="648">
        <v>21214201</v>
      </c>
      <c r="AE954" s="254">
        <v>8262</v>
      </c>
    </row>
    <row r="955" spans="27:31" x14ac:dyDescent="0.2">
      <c r="AA955" s="648">
        <v>21214205</v>
      </c>
      <c r="AE955" s="254">
        <v>8263</v>
      </c>
    </row>
    <row r="956" spans="27:31" x14ac:dyDescent="0.2">
      <c r="AA956" s="648">
        <v>21215001</v>
      </c>
      <c r="AE956" s="254">
        <v>8264</v>
      </c>
    </row>
    <row r="957" spans="27:31" x14ac:dyDescent="0.2">
      <c r="AA957" s="648">
        <v>21215005</v>
      </c>
      <c r="AE957" s="254">
        <v>8265</v>
      </c>
    </row>
    <row r="958" spans="27:31" x14ac:dyDescent="0.2">
      <c r="AA958" s="648">
        <v>21215101</v>
      </c>
      <c r="AE958" s="254">
        <v>8266</v>
      </c>
    </row>
    <row r="959" spans="27:31" x14ac:dyDescent="0.2">
      <c r="AA959" s="648">
        <v>21215105</v>
      </c>
      <c r="AE959" s="254">
        <v>8267</v>
      </c>
    </row>
    <row r="960" spans="27:31" x14ac:dyDescent="0.2">
      <c r="AA960" s="648">
        <v>21215201</v>
      </c>
      <c r="AE960" s="254">
        <v>8268</v>
      </c>
    </row>
    <row r="961" spans="27:31" x14ac:dyDescent="0.2">
      <c r="AA961" s="648">
        <v>21215205</v>
      </c>
      <c r="AE961" s="254">
        <v>8269</v>
      </c>
    </row>
    <row r="962" spans="27:31" x14ac:dyDescent="0.2">
      <c r="AA962" s="456">
        <v>21216001</v>
      </c>
      <c r="AE962" s="254">
        <v>9010</v>
      </c>
    </row>
    <row r="963" spans="27:31" x14ac:dyDescent="0.2">
      <c r="AA963" s="456">
        <v>21216005</v>
      </c>
      <c r="AE963" s="254">
        <v>9011</v>
      </c>
    </row>
    <row r="964" spans="27:31" x14ac:dyDescent="0.2">
      <c r="AA964" s="456">
        <v>21216101</v>
      </c>
      <c r="AE964" s="254">
        <v>9012</v>
      </c>
    </row>
    <row r="965" spans="27:31" x14ac:dyDescent="0.2">
      <c r="AA965" s="456">
        <v>21216105</v>
      </c>
      <c r="AE965" s="254">
        <v>9013</v>
      </c>
    </row>
    <row r="966" spans="27:31" x14ac:dyDescent="0.2">
      <c r="AA966" s="456">
        <v>21216201</v>
      </c>
      <c r="AE966" s="254">
        <v>9014</v>
      </c>
    </row>
    <row r="967" spans="27:31" x14ac:dyDescent="0.2">
      <c r="AA967" s="456">
        <v>21216205</v>
      </c>
      <c r="AE967" s="254">
        <v>9015</v>
      </c>
    </row>
    <row r="968" spans="27:31" x14ac:dyDescent="0.2">
      <c r="AA968" s="456">
        <v>21217001</v>
      </c>
      <c r="AE968" s="254">
        <v>9016</v>
      </c>
    </row>
    <row r="969" spans="27:31" x14ac:dyDescent="0.2">
      <c r="AA969" s="456">
        <v>21217005</v>
      </c>
      <c r="AE969" s="254">
        <v>9017</v>
      </c>
    </row>
    <row r="970" spans="27:31" x14ac:dyDescent="0.2">
      <c r="AA970" s="456">
        <v>21217101</v>
      </c>
      <c r="AE970" s="254">
        <v>9018</v>
      </c>
    </row>
    <row r="971" spans="27:31" x14ac:dyDescent="0.2">
      <c r="AA971" s="456">
        <v>21217105</v>
      </c>
      <c r="AE971" s="254">
        <v>9019</v>
      </c>
    </row>
    <row r="972" spans="27:31" x14ac:dyDescent="0.2">
      <c r="AA972" s="456">
        <v>21217201</v>
      </c>
      <c r="AE972" s="254">
        <v>9020</v>
      </c>
    </row>
    <row r="973" spans="27:31" x14ac:dyDescent="0.2">
      <c r="AA973" s="456">
        <v>21217205</v>
      </c>
      <c r="AE973" s="254">
        <v>9021</v>
      </c>
    </row>
    <row r="974" spans="27:31" x14ac:dyDescent="0.2">
      <c r="AA974" s="456">
        <v>21218001</v>
      </c>
      <c r="AE974" s="254">
        <v>9022</v>
      </c>
    </row>
    <row r="975" spans="27:31" x14ac:dyDescent="0.2">
      <c r="AA975" s="456">
        <v>21218005</v>
      </c>
      <c r="AE975" s="254">
        <v>9023</v>
      </c>
    </row>
    <row r="976" spans="27:31" x14ac:dyDescent="0.2">
      <c r="AA976" s="456">
        <v>21218101</v>
      </c>
      <c r="AE976" s="254">
        <v>9024</v>
      </c>
    </row>
    <row r="977" spans="27:31" x14ac:dyDescent="0.2">
      <c r="AA977" s="456">
        <v>21218105</v>
      </c>
      <c r="AE977" s="254">
        <v>9025</v>
      </c>
    </row>
    <row r="978" spans="27:31" x14ac:dyDescent="0.2">
      <c r="AA978" s="456">
        <v>21218201</v>
      </c>
      <c r="AE978" s="254">
        <v>9026</v>
      </c>
    </row>
    <row r="979" spans="27:31" x14ac:dyDescent="0.2">
      <c r="AA979" s="456">
        <v>21218205</v>
      </c>
      <c r="AE979" s="254">
        <v>9027</v>
      </c>
    </row>
    <row r="980" spans="27:31" x14ac:dyDescent="0.2">
      <c r="AA980" s="456">
        <v>21219001</v>
      </c>
      <c r="AE980" s="254">
        <v>9028</v>
      </c>
    </row>
    <row r="981" spans="27:31" x14ac:dyDescent="0.2">
      <c r="AA981" s="456">
        <v>21219005</v>
      </c>
      <c r="AE981" s="254">
        <v>9029</v>
      </c>
    </row>
    <row r="982" spans="27:31" x14ac:dyDescent="0.2">
      <c r="AA982" s="456">
        <v>21219101</v>
      </c>
      <c r="AE982" s="254">
        <v>9050</v>
      </c>
    </row>
    <row r="983" spans="27:31" x14ac:dyDescent="0.2">
      <c r="AA983" s="456">
        <v>21219105</v>
      </c>
      <c r="AE983" s="254">
        <v>9051</v>
      </c>
    </row>
    <row r="984" spans="27:31" x14ac:dyDescent="0.2">
      <c r="AA984" s="456">
        <v>21219201</v>
      </c>
      <c r="AE984" s="254">
        <v>9052</v>
      </c>
    </row>
    <row r="985" spans="27:31" x14ac:dyDescent="0.2">
      <c r="AA985" s="456">
        <v>21219205</v>
      </c>
      <c r="AE985" s="254">
        <v>9053</v>
      </c>
    </row>
    <row r="986" spans="27:31" x14ac:dyDescent="0.2">
      <c r="AA986" s="648">
        <v>22001001</v>
      </c>
      <c r="AE986" s="254">
        <v>9054</v>
      </c>
    </row>
    <row r="987" spans="27:31" x14ac:dyDescent="0.2">
      <c r="AA987" s="648">
        <v>22001005</v>
      </c>
      <c r="AE987" s="254">
        <v>9055</v>
      </c>
    </row>
    <row r="988" spans="27:31" x14ac:dyDescent="0.2">
      <c r="AA988" s="648">
        <v>22001101</v>
      </c>
      <c r="AE988" s="254">
        <v>9056</v>
      </c>
    </row>
    <row r="989" spans="27:31" x14ac:dyDescent="0.2">
      <c r="AA989" s="648">
        <v>22001105</v>
      </c>
      <c r="AE989" s="254">
        <v>9057</v>
      </c>
    </row>
    <row r="990" spans="27:31" x14ac:dyDescent="0.2">
      <c r="AA990" s="648">
        <v>22001201</v>
      </c>
      <c r="AE990" s="254">
        <v>9058</v>
      </c>
    </row>
    <row r="991" spans="27:31" x14ac:dyDescent="0.2">
      <c r="AA991" s="648">
        <v>22001205</v>
      </c>
      <c r="AE991" s="254">
        <v>9059</v>
      </c>
    </row>
    <row r="992" spans="27:31" x14ac:dyDescent="0.2">
      <c r="AA992" s="648">
        <v>22002001</v>
      </c>
      <c r="AE992" s="254">
        <v>9060</v>
      </c>
    </row>
    <row r="993" spans="27:31" x14ac:dyDescent="0.2">
      <c r="AA993" s="648">
        <v>22002005</v>
      </c>
      <c r="AE993" s="254">
        <v>9061</v>
      </c>
    </row>
    <row r="994" spans="27:31" x14ac:dyDescent="0.2">
      <c r="AA994" s="648">
        <v>22002101</v>
      </c>
      <c r="AE994" s="254">
        <v>9062</v>
      </c>
    </row>
    <row r="995" spans="27:31" x14ac:dyDescent="0.2">
      <c r="AA995" s="648">
        <v>22002105</v>
      </c>
      <c r="AE995" s="254">
        <v>9063</v>
      </c>
    </row>
    <row r="996" spans="27:31" x14ac:dyDescent="0.2">
      <c r="AA996" s="648">
        <v>22002201</v>
      </c>
      <c r="AE996" s="254">
        <v>9064</v>
      </c>
    </row>
    <row r="997" spans="27:31" x14ac:dyDescent="0.2">
      <c r="AA997" s="648">
        <v>22002205</v>
      </c>
      <c r="AE997" s="254">
        <v>9065</v>
      </c>
    </row>
    <row r="998" spans="27:31" x14ac:dyDescent="0.2">
      <c r="AA998" s="648">
        <v>22003001</v>
      </c>
      <c r="AE998" s="254">
        <v>9066</v>
      </c>
    </row>
    <row r="999" spans="27:31" x14ac:dyDescent="0.2">
      <c r="AA999" s="648">
        <v>22003005</v>
      </c>
      <c r="AE999" s="254">
        <v>9067</v>
      </c>
    </row>
    <row r="1000" spans="27:31" x14ac:dyDescent="0.2">
      <c r="AA1000" s="648">
        <v>22003101</v>
      </c>
      <c r="AE1000" s="254">
        <v>9068</v>
      </c>
    </row>
    <row r="1001" spans="27:31" x14ac:dyDescent="0.2">
      <c r="AA1001" s="648">
        <v>22003105</v>
      </c>
      <c r="AE1001" s="254">
        <v>9069</v>
      </c>
    </row>
    <row r="1002" spans="27:31" x14ac:dyDescent="0.2">
      <c r="AA1002" s="648">
        <v>22003201</v>
      </c>
      <c r="AE1002" s="254">
        <v>9110</v>
      </c>
    </row>
    <row r="1003" spans="27:31" x14ac:dyDescent="0.2">
      <c r="AA1003" s="648">
        <v>22003205</v>
      </c>
      <c r="AE1003" s="254">
        <v>9111</v>
      </c>
    </row>
    <row r="1004" spans="27:31" x14ac:dyDescent="0.2">
      <c r="AA1004" s="648">
        <v>22004001</v>
      </c>
      <c r="AE1004" s="254">
        <v>9112</v>
      </c>
    </row>
    <row r="1005" spans="27:31" x14ac:dyDescent="0.2">
      <c r="AA1005" s="648">
        <v>22004005</v>
      </c>
      <c r="AE1005" s="254">
        <v>9113</v>
      </c>
    </row>
    <row r="1006" spans="27:31" x14ac:dyDescent="0.2">
      <c r="AA1006" s="648">
        <v>22004101</v>
      </c>
      <c r="AE1006" s="254">
        <v>9114</v>
      </c>
    </row>
    <row r="1007" spans="27:31" x14ac:dyDescent="0.2">
      <c r="AA1007" s="648">
        <v>22004105</v>
      </c>
      <c r="AE1007" s="254">
        <v>9115</v>
      </c>
    </row>
    <row r="1008" spans="27:31" x14ac:dyDescent="0.2">
      <c r="AA1008" s="648">
        <v>22004201</v>
      </c>
      <c r="AE1008" s="254">
        <v>9116</v>
      </c>
    </row>
    <row r="1009" spans="27:31" x14ac:dyDescent="0.2">
      <c r="AA1009" s="648">
        <v>22004205</v>
      </c>
      <c r="AE1009" s="254">
        <v>9117</v>
      </c>
    </row>
    <row r="1010" spans="27:31" x14ac:dyDescent="0.2">
      <c r="AA1010" s="648">
        <v>22005001</v>
      </c>
      <c r="AE1010" s="254">
        <v>9118</v>
      </c>
    </row>
    <row r="1011" spans="27:31" x14ac:dyDescent="0.2">
      <c r="AA1011" s="648">
        <v>22005005</v>
      </c>
      <c r="AE1011" s="254">
        <v>9119</v>
      </c>
    </row>
    <row r="1012" spans="27:31" x14ac:dyDescent="0.2">
      <c r="AA1012" s="648">
        <v>22005101</v>
      </c>
      <c r="AE1012" s="254">
        <v>9120</v>
      </c>
    </row>
    <row r="1013" spans="27:31" x14ac:dyDescent="0.2">
      <c r="AA1013" s="648">
        <v>22005105</v>
      </c>
      <c r="AE1013" s="254">
        <v>9121</v>
      </c>
    </row>
    <row r="1014" spans="27:31" x14ac:dyDescent="0.2">
      <c r="AA1014" s="648">
        <v>22005201</v>
      </c>
      <c r="AE1014" s="254">
        <v>9122</v>
      </c>
    </row>
    <row r="1015" spans="27:31" x14ac:dyDescent="0.2">
      <c r="AA1015" s="648">
        <v>22005205</v>
      </c>
      <c r="AE1015" s="254">
        <v>9123</v>
      </c>
    </row>
    <row r="1016" spans="27:31" x14ac:dyDescent="0.2">
      <c r="AA1016" s="456">
        <v>22006001</v>
      </c>
      <c r="AE1016" s="254">
        <v>9124</v>
      </c>
    </row>
    <row r="1017" spans="27:31" x14ac:dyDescent="0.2">
      <c r="AA1017" s="456">
        <v>22006005</v>
      </c>
      <c r="AE1017" s="254">
        <v>9125</v>
      </c>
    </row>
    <row r="1018" spans="27:31" x14ac:dyDescent="0.2">
      <c r="AA1018" s="456">
        <v>22006101</v>
      </c>
      <c r="AE1018" s="254">
        <v>9126</v>
      </c>
    </row>
    <row r="1019" spans="27:31" x14ac:dyDescent="0.2">
      <c r="AA1019" s="456">
        <v>22006105</v>
      </c>
      <c r="AE1019" s="254">
        <v>9127</v>
      </c>
    </row>
    <row r="1020" spans="27:31" x14ac:dyDescent="0.2">
      <c r="AA1020" s="456">
        <v>22006201</v>
      </c>
      <c r="AE1020" s="254">
        <v>9128</v>
      </c>
    </row>
    <row r="1021" spans="27:31" x14ac:dyDescent="0.2">
      <c r="AA1021" s="456">
        <v>22006205</v>
      </c>
      <c r="AE1021" s="254">
        <v>9129</v>
      </c>
    </row>
    <row r="1022" spans="27:31" x14ac:dyDescent="0.2">
      <c r="AA1022" s="456">
        <v>22007001</v>
      </c>
      <c r="AE1022" s="254">
        <v>9150</v>
      </c>
    </row>
    <row r="1023" spans="27:31" x14ac:dyDescent="0.2">
      <c r="AA1023" s="456">
        <v>22007005</v>
      </c>
      <c r="AE1023" s="254">
        <v>9151</v>
      </c>
    </row>
    <row r="1024" spans="27:31" x14ac:dyDescent="0.2">
      <c r="AA1024" s="456">
        <v>22007101</v>
      </c>
      <c r="AE1024" s="254">
        <v>9152</v>
      </c>
    </row>
    <row r="1025" spans="27:31" x14ac:dyDescent="0.2">
      <c r="AA1025" s="456">
        <v>22007105</v>
      </c>
      <c r="AE1025" s="254">
        <v>9153</v>
      </c>
    </row>
    <row r="1026" spans="27:31" x14ac:dyDescent="0.2">
      <c r="AA1026" s="456">
        <v>22007201</v>
      </c>
      <c r="AE1026" s="254">
        <v>9154</v>
      </c>
    </row>
    <row r="1027" spans="27:31" x14ac:dyDescent="0.2">
      <c r="AA1027" s="456">
        <v>22007205</v>
      </c>
      <c r="AE1027" s="254">
        <v>9155</v>
      </c>
    </row>
    <row r="1028" spans="27:31" x14ac:dyDescent="0.2">
      <c r="AA1028" s="456">
        <v>22008001</v>
      </c>
      <c r="AE1028" s="254">
        <v>9156</v>
      </c>
    </row>
    <row r="1029" spans="27:31" x14ac:dyDescent="0.2">
      <c r="AA1029" s="456">
        <v>22008005</v>
      </c>
      <c r="AE1029" s="254">
        <v>9157</v>
      </c>
    </row>
    <row r="1030" spans="27:31" x14ac:dyDescent="0.2">
      <c r="AA1030" s="456">
        <v>22008101</v>
      </c>
      <c r="AE1030" s="254">
        <v>9158</v>
      </c>
    </row>
    <row r="1031" spans="27:31" x14ac:dyDescent="0.2">
      <c r="AA1031" s="456">
        <v>22008105</v>
      </c>
      <c r="AE1031" s="254">
        <v>9159</v>
      </c>
    </row>
    <row r="1032" spans="27:31" x14ac:dyDescent="0.2">
      <c r="AA1032" s="456">
        <v>22008201</v>
      </c>
      <c r="AE1032" s="254">
        <v>9160</v>
      </c>
    </row>
    <row r="1033" spans="27:31" x14ac:dyDescent="0.2">
      <c r="AA1033" s="456">
        <v>22008205</v>
      </c>
      <c r="AE1033" s="254">
        <v>9161</v>
      </c>
    </row>
    <row r="1034" spans="27:31" x14ac:dyDescent="0.2">
      <c r="AA1034" s="456">
        <v>22009001</v>
      </c>
      <c r="AE1034" s="254">
        <v>9162</v>
      </c>
    </row>
    <row r="1035" spans="27:31" x14ac:dyDescent="0.2">
      <c r="AA1035" s="456">
        <v>22009005</v>
      </c>
      <c r="AE1035" s="254">
        <v>9163</v>
      </c>
    </row>
    <row r="1036" spans="27:31" x14ac:dyDescent="0.2">
      <c r="AA1036" s="456">
        <v>22009101</v>
      </c>
      <c r="AE1036" s="254">
        <v>9164</v>
      </c>
    </row>
    <row r="1037" spans="27:31" x14ac:dyDescent="0.2">
      <c r="AA1037" s="456">
        <v>22009105</v>
      </c>
      <c r="AE1037" s="254">
        <v>9165</v>
      </c>
    </row>
    <row r="1038" spans="27:31" x14ac:dyDescent="0.2">
      <c r="AA1038" s="456">
        <v>22009201</v>
      </c>
      <c r="AE1038" s="254">
        <v>9166</v>
      </c>
    </row>
    <row r="1039" spans="27:31" x14ac:dyDescent="0.2">
      <c r="AA1039" s="456">
        <v>22009205</v>
      </c>
      <c r="AE1039" s="254">
        <v>9167</v>
      </c>
    </row>
    <row r="1040" spans="27:31" x14ac:dyDescent="0.2">
      <c r="AA1040" s="456">
        <v>22011001</v>
      </c>
      <c r="AE1040" s="254">
        <v>9168</v>
      </c>
    </row>
    <row r="1041" spans="27:31" x14ac:dyDescent="0.2">
      <c r="AA1041" s="456">
        <v>22011005</v>
      </c>
      <c r="AE1041" s="254">
        <v>9169</v>
      </c>
    </row>
    <row r="1042" spans="27:31" x14ac:dyDescent="0.2">
      <c r="AA1042" s="648">
        <v>22011101</v>
      </c>
      <c r="AE1042" s="254">
        <v>9210</v>
      </c>
    </row>
    <row r="1043" spans="27:31" x14ac:dyDescent="0.2">
      <c r="AA1043" s="648">
        <v>22011105</v>
      </c>
      <c r="AE1043" s="254">
        <v>9211</v>
      </c>
    </row>
    <row r="1044" spans="27:31" x14ac:dyDescent="0.2">
      <c r="AA1044" s="648">
        <v>22011201</v>
      </c>
      <c r="AE1044" s="254">
        <v>9212</v>
      </c>
    </row>
    <row r="1045" spans="27:31" x14ac:dyDescent="0.2">
      <c r="AA1045" s="648">
        <v>22011205</v>
      </c>
      <c r="AE1045" s="254">
        <v>9213</v>
      </c>
    </row>
    <row r="1046" spans="27:31" x14ac:dyDescent="0.2">
      <c r="AA1046" s="648">
        <v>22012001</v>
      </c>
      <c r="AE1046" s="254">
        <v>9214</v>
      </c>
    </row>
    <row r="1047" spans="27:31" x14ac:dyDescent="0.2">
      <c r="AA1047" s="648">
        <v>22012005</v>
      </c>
      <c r="AE1047" s="254">
        <v>9215</v>
      </c>
    </row>
    <row r="1048" spans="27:31" x14ac:dyDescent="0.2">
      <c r="AA1048" s="648">
        <v>22012101</v>
      </c>
      <c r="AE1048" s="254">
        <v>9216</v>
      </c>
    </row>
    <row r="1049" spans="27:31" x14ac:dyDescent="0.2">
      <c r="AA1049" s="648">
        <v>22012105</v>
      </c>
      <c r="AE1049" s="254">
        <v>9217</v>
      </c>
    </row>
    <row r="1050" spans="27:31" x14ac:dyDescent="0.2">
      <c r="AA1050" s="648">
        <v>22012201</v>
      </c>
      <c r="AE1050" s="254">
        <v>9218</v>
      </c>
    </row>
    <row r="1051" spans="27:31" x14ac:dyDescent="0.2">
      <c r="AA1051" s="648">
        <v>22012205</v>
      </c>
      <c r="AE1051" s="254">
        <v>9219</v>
      </c>
    </row>
    <row r="1052" spans="27:31" x14ac:dyDescent="0.2">
      <c r="AA1052" s="648">
        <v>22013001</v>
      </c>
      <c r="AE1052" s="254">
        <v>9220</v>
      </c>
    </row>
    <row r="1053" spans="27:31" x14ac:dyDescent="0.2">
      <c r="AA1053" s="648">
        <v>22013005</v>
      </c>
      <c r="AE1053" s="254">
        <v>9221</v>
      </c>
    </row>
    <row r="1054" spans="27:31" x14ac:dyDescent="0.2">
      <c r="AA1054" s="648">
        <v>22013101</v>
      </c>
      <c r="AE1054" s="254">
        <v>9222</v>
      </c>
    </row>
    <row r="1055" spans="27:31" x14ac:dyDescent="0.2">
      <c r="AA1055" s="648">
        <v>22013105</v>
      </c>
      <c r="AE1055" s="254">
        <v>9223</v>
      </c>
    </row>
    <row r="1056" spans="27:31" x14ac:dyDescent="0.2">
      <c r="AA1056" s="648">
        <v>22013201</v>
      </c>
      <c r="AE1056" s="254">
        <v>9224</v>
      </c>
    </row>
    <row r="1057" spans="27:31" x14ac:dyDescent="0.2">
      <c r="AA1057" s="648">
        <v>22013205</v>
      </c>
      <c r="AE1057" s="254">
        <v>9225</v>
      </c>
    </row>
    <row r="1058" spans="27:31" x14ac:dyDescent="0.2">
      <c r="AA1058" s="648">
        <v>22014001</v>
      </c>
      <c r="AE1058" s="254">
        <v>9226</v>
      </c>
    </row>
    <row r="1059" spans="27:31" x14ac:dyDescent="0.2">
      <c r="AA1059" s="648">
        <v>22014005</v>
      </c>
      <c r="AE1059" s="254">
        <v>9227</v>
      </c>
    </row>
    <row r="1060" spans="27:31" x14ac:dyDescent="0.2">
      <c r="AA1060" s="648">
        <v>22014101</v>
      </c>
      <c r="AE1060" s="254">
        <v>9228</v>
      </c>
    </row>
    <row r="1061" spans="27:31" x14ac:dyDescent="0.2">
      <c r="AA1061" s="648">
        <v>22014105</v>
      </c>
      <c r="AE1061" s="254">
        <v>9229</v>
      </c>
    </row>
    <row r="1062" spans="27:31" x14ac:dyDescent="0.2">
      <c r="AA1062" s="648">
        <v>22014201</v>
      </c>
      <c r="AE1062" s="254">
        <v>9250</v>
      </c>
    </row>
    <row r="1063" spans="27:31" x14ac:dyDescent="0.2">
      <c r="AA1063" s="648">
        <v>22014205</v>
      </c>
      <c r="AE1063" s="254">
        <v>9251</v>
      </c>
    </row>
    <row r="1064" spans="27:31" x14ac:dyDescent="0.2">
      <c r="AA1064" s="648">
        <v>22015001</v>
      </c>
      <c r="AE1064" s="254">
        <v>9252</v>
      </c>
    </row>
    <row r="1065" spans="27:31" x14ac:dyDescent="0.2">
      <c r="AA1065" s="648">
        <v>22015005</v>
      </c>
      <c r="AE1065" s="254">
        <v>9253</v>
      </c>
    </row>
    <row r="1066" spans="27:31" x14ac:dyDescent="0.2">
      <c r="AA1066" s="648">
        <v>22015101</v>
      </c>
      <c r="AE1066" s="254">
        <v>9254</v>
      </c>
    </row>
    <row r="1067" spans="27:31" x14ac:dyDescent="0.2">
      <c r="AA1067" s="648">
        <v>22015105</v>
      </c>
      <c r="AE1067" s="254">
        <v>9255</v>
      </c>
    </row>
    <row r="1068" spans="27:31" x14ac:dyDescent="0.2">
      <c r="AA1068" s="648">
        <v>22015201</v>
      </c>
      <c r="AE1068" s="254">
        <v>9256</v>
      </c>
    </row>
    <row r="1069" spans="27:31" x14ac:dyDescent="0.2">
      <c r="AA1069" s="648">
        <v>22015205</v>
      </c>
      <c r="AE1069" s="254">
        <v>9257</v>
      </c>
    </row>
    <row r="1070" spans="27:31" x14ac:dyDescent="0.2">
      <c r="AA1070" s="456">
        <v>22016001</v>
      </c>
      <c r="AE1070" s="254">
        <v>9258</v>
      </c>
    </row>
    <row r="1071" spans="27:31" x14ac:dyDescent="0.2">
      <c r="AA1071" s="456">
        <v>22016005</v>
      </c>
      <c r="AE1071" s="254">
        <v>9259</v>
      </c>
    </row>
    <row r="1072" spans="27:31" x14ac:dyDescent="0.2">
      <c r="AA1072" s="456">
        <v>22016101</v>
      </c>
      <c r="AE1072" s="254">
        <v>9260</v>
      </c>
    </row>
    <row r="1073" spans="27:31" x14ac:dyDescent="0.2">
      <c r="AA1073" s="456">
        <v>22016105</v>
      </c>
      <c r="AE1073" s="254">
        <v>9261</v>
      </c>
    </row>
    <row r="1074" spans="27:31" x14ac:dyDescent="0.2">
      <c r="AA1074" s="456">
        <v>22016201</v>
      </c>
      <c r="AE1074" s="254">
        <v>9262</v>
      </c>
    </row>
    <row r="1075" spans="27:31" x14ac:dyDescent="0.2">
      <c r="AA1075" s="456">
        <v>22016205</v>
      </c>
      <c r="AE1075" s="254">
        <v>9263</v>
      </c>
    </row>
    <row r="1076" spans="27:31" x14ac:dyDescent="0.2">
      <c r="AA1076" s="456">
        <v>22017001</v>
      </c>
      <c r="AE1076" s="254">
        <v>9264</v>
      </c>
    </row>
    <row r="1077" spans="27:31" x14ac:dyDescent="0.2">
      <c r="AA1077" s="456">
        <v>22017005</v>
      </c>
      <c r="AE1077" s="254">
        <v>9265</v>
      </c>
    </row>
    <row r="1078" spans="27:31" x14ac:dyDescent="0.2">
      <c r="AA1078" s="456">
        <v>22017101</v>
      </c>
      <c r="AE1078" s="254">
        <v>9266</v>
      </c>
    </row>
    <row r="1079" spans="27:31" x14ac:dyDescent="0.2">
      <c r="AA1079" s="456">
        <v>22017105</v>
      </c>
      <c r="AE1079" s="254">
        <v>9267</v>
      </c>
    </row>
    <row r="1080" spans="27:31" x14ac:dyDescent="0.2">
      <c r="AA1080" s="456">
        <v>22017201</v>
      </c>
      <c r="AE1080" s="254">
        <v>9268</v>
      </c>
    </row>
    <row r="1081" spans="27:31" x14ac:dyDescent="0.2">
      <c r="AA1081" s="456">
        <v>22017205</v>
      </c>
      <c r="AE1081" s="254">
        <v>9269</v>
      </c>
    </row>
    <row r="1082" spans="27:31" x14ac:dyDescent="0.2">
      <c r="AA1082" s="456">
        <v>22018001</v>
      </c>
      <c r="AE1082" s="254">
        <v>1510</v>
      </c>
    </row>
    <row r="1083" spans="27:31" x14ac:dyDescent="0.2">
      <c r="AA1083" s="456">
        <v>22018005</v>
      </c>
      <c r="AE1083" s="254">
        <v>1511</v>
      </c>
    </row>
    <row r="1084" spans="27:31" x14ac:dyDescent="0.2">
      <c r="AA1084" s="456">
        <v>22018101</v>
      </c>
      <c r="AE1084" s="254">
        <v>1512</v>
      </c>
    </row>
    <row r="1085" spans="27:31" x14ac:dyDescent="0.2">
      <c r="AA1085" s="456">
        <v>22018105</v>
      </c>
      <c r="AE1085" s="254">
        <v>1513</v>
      </c>
    </row>
    <row r="1086" spans="27:31" x14ac:dyDescent="0.2">
      <c r="AA1086" s="456">
        <v>22018201</v>
      </c>
      <c r="AE1086" s="254">
        <v>1514</v>
      </c>
    </row>
    <row r="1087" spans="27:31" x14ac:dyDescent="0.2">
      <c r="AA1087" s="456">
        <v>22018205</v>
      </c>
      <c r="AE1087" s="254">
        <v>1515</v>
      </c>
    </row>
    <row r="1088" spans="27:31" x14ac:dyDescent="0.2">
      <c r="AA1088" s="456">
        <v>22019001</v>
      </c>
      <c r="AE1088" s="254">
        <v>1516</v>
      </c>
    </row>
    <row r="1089" spans="27:31" x14ac:dyDescent="0.2">
      <c r="AA1089" s="456">
        <v>22019005</v>
      </c>
      <c r="AE1089" s="254">
        <v>1517</v>
      </c>
    </row>
    <row r="1090" spans="27:31" x14ac:dyDescent="0.2">
      <c r="AA1090" s="456">
        <v>22019101</v>
      </c>
      <c r="AE1090" s="254">
        <v>1518</v>
      </c>
    </row>
    <row r="1091" spans="27:31" x14ac:dyDescent="0.2">
      <c r="AA1091" s="456">
        <v>22019105</v>
      </c>
      <c r="AE1091" s="254">
        <v>1519</v>
      </c>
    </row>
    <row r="1092" spans="27:31" x14ac:dyDescent="0.2">
      <c r="AA1092" s="456">
        <v>22019201</v>
      </c>
      <c r="AE1092" s="254">
        <v>1520</v>
      </c>
    </row>
    <row r="1093" spans="27:31" x14ac:dyDescent="0.2">
      <c r="AA1093" s="456">
        <v>22019205</v>
      </c>
      <c r="AE1093" s="254">
        <v>1521</v>
      </c>
    </row>
    <row r="1094" spans="27:31" x14ac:dyDescent="0.2">
      <c r="AA1094" s="648">
        <v>22101001</v>
      </c>
      <c r="AE1094" s="254">
        <v>1522</v>
      </c>
    </row>
    <row r="1095" spans="27:31" x14ac:dyDescent="0.2">
      <c r="AA1095" s="648">
        <v>22101005</v>
      </c>
      <c r="AE1095" s="254">
        <v>1523</v>
      </c>
    </row>
    <row r="1096" spans="27:31" x14ac:dyDescent="0.2">
      <c r="AA1096" s="648">
        <v>22101101</v>
      </c>
      <c r="AE1096" s="254">
        <v>1524</v>
      </c>
    </row>
    <row r="1097" spans="27:31" x14ac:dyDescent="0.2">
      <c r="AA1097" s="648">
        <v>22101105</v>
      </c>
      <c r="AE1097" s="254">
        <v>1525</v>
      </c>
    </row>
    <row r="1098" spans="27:31" x14ac:dyDescent="0.2">
      <c r="AA1098" s="648">
        <v>22101201</v>
      </c>
      <c r="AE1098" s="254">
        <v>1526</v>
      </c>
    </row>
    <row r="1099" spans="27:31" x14ac:dyDescent="0.2">
      <c r="AA1099" s="648">
        <v>22101205</v>
      </c>
      <c r="AE1099" s="254">
        <v>1527</v>
      </c>
    </row>
    <row r="1100" spans="27:31" x14ac:dyDescent="0.2">
      <c r="AA1100" s="648">
        <v>22102001</v>
      </c>
      <c r="AE1100" s="254">
        <v>1528</v>
      </c>
    </row>
    <row r="1101" spans="27:31" x14ac:dyDescent="0.2">
      <c r="AA1101" s="648">
        <v>22102005</v>
      </c>
      <c r="AE1101" s="254">
        <v>1529</v>
      </c>
    </row>
    <row r="1102" spans="27:31" x14ac:dyDescent="0.2">
      <c r="AA1102" s="648">
        <v>22102101</v>
      </c>
      <c r="AE1102" s="254">
        <v>1550</v>
      </c>
    </row>
    <row r="1103" spans="27:31" x14ac:dyDescent="0.2">
      <c r="AA1103" s="648">
        <v>22102105</v>
      </c>
      <c r="AE1103" s="254">
        <v>1551</v>
      </c>
    </row>
    <row r="1104" spans="27:31" x14ac:dyDescent="0.2">
      <c r="AA1104" s="648">
        <v>22102201</v>
      </c>
      <c r="AE1104" s="254">
        <v>1552</v>
      </c>
    </row>
    <row r="1105" spans="27:31" x14ac:dyDescent="0.2">
      <c r="AA1105" s="648">
        <v>22102205</v>
      </c>
      <c r="AE1105" s="254">
        <v>1553</v>
      </c>
    </row>
    <row r="1106" spans="27:31" x14ac:dyDescent="0.2">
      <c r="AA1106" s="648">
        <v>22103001</v>
      </c>
      <c r="AE1106" s="254">
        <v>1554</v>
      </c>
    </row>
    <row r="1107" spans="27:31" x14ac:dyDescent="0.2">
      <c r="AA1107" s="648">
        <v>22103005</v>
      </c>
      <c r="AE1107" s="254">
        <v>1555</v>
      </c>
    </row>
    <row r="1108" spans="27:31" x14ac:dyDescent="0.2">
      <c r="AA1108" s="648">
        <v>22103101</v>
      </c>
      <c r="AE1108" s="254">
        <v>1556</v>
      </c>
    </row>
    <row r="1109" spans="27:31" x14ac:dyDescent="0.2">
      <c r="AA1109" s="648">
        <v>22103105</v>
      </c>
      <c r="AE1109" s="254">
        <v>1557</v>
      </c>
    </row>
    <row r="1110" spans="27:31" x14ac:dyDescent="0.2">
      <c r="AA1110" s="648">
        <v>22103201</v>
      </c>
      <c r="AE1110" s="254">
        <v>1558</v>
      </c>
    </row>
    <row r="1111" spans="27:31" x14ac:dyDescent="0.2">
      <c r="AA1111" s="648">
        <v>22103205</v>
      </c>
      <c r="AE1111" s="254">
        <v>1559</v>
      </c>
    </row>
    <row r="1112" spans="27:31" x14ac:dyDescent="0.2">
      <c r="AA1112" s="648">
        <v>22104001</v>
      </c>
      <c r="AE1112" s="254">
        <v>1560</v>
      </c>
    </row>
    <row r="1113" spans="27:31" x14ac:dyDescent="0.2">
      <c r="AA1113" s="648">
        <v>22104005</v>
      </c>
      <c r="AE1113" s="254">
        <v>1561</v>
      </c>
    </row>
    <row r="1114" spans="27:31" x14ac:dyDescent="0.2">
      <c r="AA1114" s="648">
        <v>22104101</v>
      </c>
      <c r="AE1114" s="254">
        <v>1562</v>
      </c>
    </row>
    <row r="1115" spans="27:31" x14ac:dyDescent="0.2">
      <c r="AA1115" s="648">
        <v>22104105</v>
      </c>
      <c r="AE1115" s="254">
        <v>1563</v>
      </c>
    </row>
    <row r="1116" spans="27:31" x14ac:dyDescent="0.2">
      <c r="AA1116" s="648">
        <v>22104201</v>
      </c>
      <c r="AE1116" s="254">
        <v>1564</v>
      </c>
    </row>
    <row r="1117" spans="27:31" x14ac:dyDescent="0.2">
      <c r="AA1117" s="648">
        <v>22104205</v>
      </c>
      <c r="AE1117" s="254">
        <v>1565</v>
      </c>
    </row>
    <row r="1118" spans="27:31" x14ac:dyDescent="0.2">
      <c r="AA1118" s="648">
        <v>22105001</v>
      </c>
      <c r="AE1118" s="254">
        <v>1566</v>
      </c>
    </row>
    <row r="1119" spans="27:31" x14ac:dyDescent="0.2">
      <c r="AA1119" s="648">
        <v>22105005</v>
      </c>
      <c r="AE1119" s="254">
        <v>1567</v>
      </c>
    </row>
    <row r="1120" spans="27:31" x14ac:dyDescent="0.2">
      <c r="AA1120" s="648">
        <v>22105101</v>
      </c>
      <c r="AE1120" s="254">
        <v>1568</v>
      </c>
    </row>
    <row r="1121" spans="27:31" x14ac:dyDescent="0.2">
      <c r="AA1121" s="648">
        <v>22105105</v>
      </c>
      <c r="AE1121" s="254">
        <v>1569</v>
      </c>
    </row>
    <row r="1122" spans="27:31" x14ac:dyDescent="0.2">
      <c r="AA1122" s="648">
        <v>22105201</v>
      </c>
      <c r="AE1122" s="254">
        <v>2510</v>
      </c>
    </row>
    <row r="1123" spans="27:31" x14ac:dyDescent="0.2">
      <c r="AA1123" s="648">
        <v>22105205</v>
      </c>
      <c r="AE1123" s="254">
        <v>2511</v>
      </c>
    </row>
    <row r="1124" spans="27:31" x14ac:dyDescent="0.2">
      <c r="AA1124" s="456">
        <v>22106001</v>
      </c>
      <c r="AE1124" s="254">
        <v>2512</v>
      </c>
    </row>
    <row r="1125" spans="27:31" x14ac:dyDescent="0.2">
      <c r="AA1125" s="456">
        <v>22106005</v>
      </c>
      <c r="AE1125" s="254">
        <v>2513</v>
      </c>
    </row>
    <row r="1126" spans="27:31" x14ac:dyDescent="0.2">
      <c r="AA1126" s="456">
        <v>22106101</v>
      </c>
      <c r="AE1126" s="254">
        <v>2514</v>
      </c>
    </row>
    <row r="1127" spans="27:31" x14ac:dyDescent="0.2">
      <c r="AA1127" s="456">
        <v>22106105</v>
      </c>
      <c r="AE1127" s="254">
        <v>2515</v>
      </c>
    </row>
    <row r="1128" spans="27:31" x14ac:dyDescent="0.2">
      <c r="AA1128" s="456">
        <v>22106201</v>
      </c>
      <c r="AE1128" s="254">
        <v>2516</v>
      </c>
    </row>
    <row r="1129" spans="27:31" x14ac:dyDescent="0.2">
      <c r="AA1129" s="456">
        <v>22106205</v>
      </c>
      <c r="AE1129" s="254">
        <v>2517</v>
      </c>
    </row>
    <row r="1130" spans="27:31" x14ac:dyDescent="0.2">
      <c r="AA1130" s="456">
        <v>22107001</v>
      </c>
      <c r="AE1130" s="254">
        <v>2518</v>
      </c>
    </row>
    <row r="1131" spans="27:31" x14ac:dyDescent="0.2">
      <c r="AA1131" s="456">
        <v>22107005</v>
      </c>
      <c r="AE1131" s="254">
        <v>2519</v>
      </c>
    </row>
    <row r="1132" spans="27:31" x14ac:dyDescent="0.2">
      <c r="AA1132" s="456">
        <v>22107101</v>
      </c>
      <c r="AE1132" s="254">
        <v>2520</v>
      </c>
    </row>
    <row r="1133" spans="27:31" x14ac:dyDescent="0.2">
      <c r="AA1133" s="456">
        <v>22107105</v>
      </c>
      <c r="AE1133" s="254">
        <v>2521</v>
      </c>
    </row>
    <row r="1134" spans="27:31" x14ac:dyDescent="0.2">
      <c r="AA1134" s="456">
        <v>22107201</v>
      </c>
      <c r="AE1134" s="254">
        <v>2522</v>
      </c>
    </row>
    <row r="1135" spans="27:31" x14ac:dyDescent="0.2">
      <c r="AA1135" s="456">
        <v>22107205</v>
      </c>
      <c r="AE1135" s="254">
        <v>2523</v>
      </c>
    </row>
    <row r="1136" spans="27:31" x14ac:dyDescent="0.2">
      <c r="AA1136" s="456">
        <v>22108001</v>
      </c>
      <c r="AE1136" s="254">
        <v>2524</v>
      </c>
    </row>
    <row r="1137" spans="27:31" x14ac:dyDescent="0.2">
      <c r="AA1137" s="456">
        <v>22108005</v>
      </c>
      <c r="AE1137" s="254">
        <v>2525</v>
      </c>
    </row>
    <row r="1138" spans="27:31" x14ac:dyDescent="0.2">
      <c r="AA1138" s="456">
        <v>22108101</v>
      </c>
      <c r="AE1138" s="254">
        <v>2526</v>
      </c>
    </row>
    <row r="1139" spans="27:31" x14ac:dyDescent="0.2">
      <c r="AA1139" s="456">
        <v>22108105</v>
      </c>
      <c r="AE1139" s="254">
        <v>2527</v>
      </c>
    </row>
    <row r="1140" spans="27:31" x14ac:dyDescent="0.2">
      <c r="AA1140" s="456">
        <v>22108201</v>
      </c>
      <c r="AE1140" s="254">
        <v>2528</v>
      </c>
    </row>
    <row r="1141" spans="27:31" x14ac:dyDescent="0.2">
      <c r="AA1141" s="456">
        <v>22108205</v>
      </c>
      <c r="AE1141" s="254">
        <v>2529</v>
      </c>
    </row>
    <row r="1142" spans="27:31" x14ac:dyDescent="0.2">
      <c r="AA1142" s="456">
        <v>22109001</v>
      </c>
      <c r="AE1142" s="254">
        <v>2550</v>
      </c>
    </row>
    <row r="1143" spans="27:31" x14ac:dyDescent="0.2">
      <c r="AA1143" s="456">
        <v>22109005</v>
      </c>
      <c r="AE1143" s="254">
        <v>2551</v>
      </c>
    </row>
    <row r="1144" spans="27:31" x14ac:dyDescent="0.2">
      <c r="AA1144" s="456">
        <v>22109101</v>
      </c>
      <c r="AE1144" s="254">
        <v>2552</v>
      </c>
    </row>
    <row r="1145" spans="27:31" x14ac:dyDescent="0.2">
      <c r="AA1145" s="456">
        <v>22109105</v>
      </c>
      <c r="AE1145" s="254">
        <v>2553</v>
      </c>
    </row>
    <row r="1146" spans="27:31" x14ac:dyDescent="0.2">
      <c r="AA1146" s="456">
        <v>22109201</v>
      </c>
      <c r="AE1146" s="254">
        <v>2554</v>
      </c>
    </row>
    <row r="1147" spans="27:31" x14ac:dyDescent="0.2">
      <c r="AA1147" s="456">
        <v>22109205</v>
      </c>
      <c r="AE1147" s="254">
        <v>2555</v>
      </c>
    </row>
    <row r="1148" spans="27:31" x14ac:dyDescent="0.2">
      <c r="AA1148" s="456">
        <v>22111001</v>
      </c>
      <c r="AE1148" s="254">
        <v>2556</v>
      </c>
    </row>
    <row r="1149" spans="27:31" x14ac:dyDescent="0.2">
      <c r="AA1149" s="456">
        <v>22111005</v>
      </c>
      <c r="AE1149" s="254">
        <v>2557</v>
      </c>
    </row>
    <row r="1150" spans="27:31" x14ac:dyDescent="0.2">
      <c r="AA1150" s="648">
        <v>22111101</v>
      </c>
      <c r="AE1150" s="254">
        <v>2558</v>
      </c>
    </row>
    <row r="1151" spans="27:31" x14ac:dyDescent="0.2">
      <c r="AA1151" s="648">
        <v>22111105</v>
      </c>
      <c r="AE1151" s="254">
        <v>2559</v>
      </c>
    </row>
    <row r="1152" spans="27:31" x14ac:dyDescent="0.2">
      <c r="AA1152" s="648">
        <v>22111201</v>
      </c>
      <c r="AE1152" s="254">
        <v>2560</v>
      </c>
    </row>
    <row r="1153" spans="27:31" x14ac:dyDescent="0.2">
      <c r="AA1153" s="648">
        <v>22111205</v>
      </c>
      <c r="AE1153" s="254">
        <v>2561</v>
      </c>
    </row>
    <row r="1154" spans="27:31" x14ac:dyDescent="0.2">
      <c r="AA1154" s="648">
        <v>22112001</v>
      </c>
      <c r="AE1154" s="254">
        <v>2562</v>
      </c>
    </row>
    <row r="1155" spans="27:31" x14ac:dyDescent="0.2">
      <c r="AA1155" s="648">
        <v>22112005</v>
      </c>
      <c r="AE1155" s="254">
        <v>2563</v>
      </c>
    </row>
    <row r="1156" spans="27:31" x14ac:dyDescent="0.2">
      <c r="AA1156" s="648">
        <v>22112101</v>
      </c>
      <c r="AE1156" s="254">
        <v>2564</v>
      </c>
    </row>
    <row r="1157" spans="27:31" x14ac:dyDescent="0.2">
      <c r="AA1157" s="648">
        <v>22112105</v>
      </c>
      <c r="AE1157" s="254">
        <v>2565</v>
      </c>
    </row>
    <row r="1158" spans="27:31" x14ac:dyDescent="0.2">
      <c r="AA1158" s="648">
        <v>22112201</v>
      </c>
      <c r="AE1158" s="254">
        <v>2566</v>
      </c>
    </row>
    <row r="1159" spans="27:31" x14ac:dyDescent="0.2">
      <c r="AA1159" s="648">
        <v>22112205</v>
      </c>
      <c r="AE1159" s="254">
        <v>2567</v>
      </c>
    </row>
    <row r="1160" spans="27:31" x14ac:dyDescent="0.2">
      <c r="AA1160" s="648">
        <v>22113001</v>
      </c>
      <c r="AE1160" s="254">
        <v>2568</v>
      </c>
    </row>
    <row r="1161" spans="27:31" x14ac:dyDescent="0.2">
      <c r="AA1161" s="648">
        <v>22113005</v>
      </c>
      <c r="AE1161" s="254">
        <v>2569</v>
      </c>
    </row>
    <row r="1162" spans="27:31" x14ac:dyDescent="0.2">
      <c r="AA1162" s="648">
        <v>22113101</v>
      </c>
      <c r="AE1162" s="254">
        <v>3510</v>
      </c>
    </row>
    <row r="1163" spans="27:31" x14ac:dyDescent="0.2">
      <c r="AA1163" s="648">
        <v>22113105</v>
      </c>
      <c r="AE1163" s="254">
        <v>3511</v>
      </c>
    </row>
    <row r="1164" spans="27:31" x14ac:dyDescent="0.2">
      <c r="AA1164" s="648">
        <v>22113201</v>
      </c>
      <c r="AE1164" s="254">
        <v>3512</v>
      </c>
    </row>
    <row r="1165" spans="27:31" x14ac:dyDescent="0.2">
      <c r="AA1165" s="648">
        <v>22113205</v>
      </c>
      <c r="AE1165" s="254">
        <v>3513</v>
      </c>
    </row>
    <row r="1166" spans="27:31" x14ac:dyDescent="0.2">
      <c r="AA1166" s="648">
        <v>22114001</v>
      </c>
      <c r="AE1166" s="254">
        <v>3514</v>
      </c>
    </row>
    <row r="1167" spans="27:31" x14ac:dyDescent="0.2">
      <c r="AA1167" s="648">
        <v>22114005</v>
      </c>
      <c r="AE1167" s="254">
        <v>3515</v>
      </c>
    </row>
    <row r="1168" spans="27:31" x14ac:dyDescent="0.2">
      <c r="AA1168" s="648">
        <v>22114101</v>
      </c>
      <c r="AE1168" s="254">
        <v>3516</v>
      </c>
    </row>
    <row r="1169" spans="27:31" x14ac:dyDescent="0.2">
      <c r="AA1169" s="648">
        <v>22114105</v>
      </c>
      <c r="AE1169" s="254">
        <v>3517</v>
      </c>
    </row>
    <row r="1170" spans="27:31" x14ac:dyDescent="0.2">
      <c r="AA1170" s="648">
        <v>22114201</v>
      </c>
      <c r="AE1170" s="254">
        <v>3518</v>
      </c>
    </row>
    <row r="1171" spans="27:31" x14ac:dyDescent="0.2">
      <c r="AA1171" s="648">
        <v>22114205</v>
      </c>
      <c r="AE1171" s="254">
        <v>3519</v>
      </c>
    </row>
    <row r="1172" spans="27:31" x14ac:dyDescent="0.2">
      <c r="AA1172" s="648">
        <v>22115001</v>
      </c>
      <c r="AE1172" s="254">
        <v>3520</v>
      </c>
    </row>
    <row r="1173" spans="27:31" x14ac:dyDescent="0.2">
      <c r="AA1173" s="648">
        <v>22115005</v>
      </c>
      <c r="AE1173" s="254">
        <v>3521</v>
      </c>
    </row>
    <row r="1174" spans="27:31" x14ac:dyDescent="0.2">
      <c r="AA1174" s="648">
        <v>22115101</v>
      </c>
      <c r="AE1174" s="254">
        <v>3522</v>
      </c>
    </row>
    <row r="1175" spans="27:31" x14ac:dyDescent="0.2">
      <c r="AA1175" s="648">
        <v>22115105</v>
      </c>
      <c r="AE1175" s="254">
        <v>3523</v>
      </c>
    </row>
    <row r="1176" spans="27:31" x14ac:dyDescent="0.2">
      <c r="AA1176" s="648">
        <v>22115201</v>
      </c>
      <c r="AE1176" s="254">
        <v>3524</v>
      </c>
    </row>
    <row r="1177" spans="27:31" x14ac:dyDescent="0.2">
      <c r="AA1177" s="648">
        <v>22115205</v>
      </c>
      <c r="AE1177" s="254">
        <v>3525</v>
      </c>
    </row>
    <row r="1178" spans="27:31" x14ac:dyDescent="0.2">
      <c r="AA1178" s="456">
        <v>22116001</v>
      </c>
      <c r="AE1178" s="254">
        <v>3526</v>
      </c>
    </row>
    <row r="1179" spans="27:31" x14ac:dyDescent="0.2">
      <c r="AA1179" s="456">
        <v>22116005</v>
      </c>
      <c r="AE1179" s="254">
        <v>3527</v>
      </c>
    </row>
    <row r="1180" spans="27:31" x14ac:dyDescent="0.2">
      <c r="AA1180" s="456">
        <v>22116101</v>
      </c>
      <c r="AE1180" s="254">
        <v>3528</v>
      </c>
    </row>
    <row r="1181" spans="27:31" x14ac:dyDescent="0.2">
      <c r="AA1181" s="456">
        <v>22116105</v>
      </c>
      <c r="AE1181" s="254">
        <v>3529</v>
      </c>
    </row>
    <row r="1182" spans="27:31" x14ac:dyDescent="0.2">
      <c r="AA1182" s="456">
        <v>22116201</v>
      </c>
      <c r="AE1182" s="254">
        <v>3550</v>
      </c>
    </row>
    <row r="1183" spans="27:31" x14ac:dyDescent="0.2">
      <c r="AA1183" s="456">
        <v>22116205</v>
      </c>
      <c r="AE1183" s="254">
        <v>3551</v>
      </c>
    </row>
    <row r="1184" spans="27:31" x14ac:dyDescent="0.2">
      <c r="AA1184" s="456">
        <v>22117001</v>
      </c>
      <c r="AE1184" s="254">
        <v>3552</v>
      </c>
    </row>
    <row r="1185" spans="27:31" x14ac:dyDescent="0.2">
      <c r="AA1185" s="456">
        <v>22117005</v>
      </c>
      <c r="AE1185" s="254">
        <v>3553</v>
      </c>
    </row>
    <row r="1186" spans="27:31" x14ac:dyDescent="0.2">
      <c r="AA1186" s="456">
        <v>22117101</v>
      </c>
      <c r="AE1186" s="254">
        <v>3554</v>
      </c>
    </row>
    <row r="1187" spans="27:31" x14ac:dyDescent="0.2">
      <c r="AA1187" s="456">
        <v>22117105</v>
      </c>
      <c r="AE1187" s="254">
        <v>3555</v>
      </c>
    </row>
    <row r="1188" spans="27:31" x14ac:dyDescent="0.2">
      <c r="AA1188" s="456">
        <v>22117201</v>
      </c>
      <c r="AE1188" s="254">
        <v>3556</v>
      </c>
    </row>
    <row r="1189" spans="27:31" x14ac:dyDescent="0.2">
      <c r="AA1189" s="456">
        <v>22117205</v>
      </c>
      <c r="AE1189" s="254">
        <v>3557</v>
      </c>
    </row>
    <row r="1190" spans="27:31" x14ac:dyDescent="0.2">
      <c r="AA1190" s="456">
        <v>22118001</v>
      </c>
      <c r="AE1190" s="254">
        <v>3558</v>
      </c>
    </row>
    <row r="1191" spans="27:31" x14ac:dyDescent="0.2">
      <c r="AA1191" s="456">
        <v>22118005</v>
      </c>
      <c r="AE1191" s="254">
        <v>3559</v>
      </c>
    </row>
    <row r="1192" spans="27:31" x14ac:dyDescent="0.2">
      <c r="AA1192" s="456">
        <v>22118101</v>
      </c>
      <c r="AE1192" s="254">
        <v>3560</v>
      </c>
    </row>
    <row r="1193" spans="27:31" x14ac:dyDescent="0.2">
      <c r="AA1193" s="456">
        <v>22118105</v>
      </c>
      <c r="AE1193" s="254">
        <v>3561</v>
      </c>
    </row>
    <row r="1194" spans="27:31" x14ac:dyDescent="0.2">
      <c r="AA1194" s="456">
        <v>22118201</v>
      </c>
      <c r="AE1194" s="254">
        <v>3562</v>
      </c>
    </row>
    <row r="1195" spans="27:31" x14ac:dyDescent="0.2">
      <c r="AA1195" s="456">
        <v>22118205</v>
      </c>
      <c r="AE1195" s="254">
        <v>3563</v>
      </c>
    </row>
    <row r="1196" spans="27:31" x14ac:dyDescent="0.2">
      <c r="AA1196" s="456">
        <v>22119001</v>
      </c>
      <c r="AE1196" s="254">
        <v>3564</v>
      </c>
    </row>
    <row r="1197" spans="27:31" x14ac:dyDescent="0.2">
      <c r="AA1197" s="456">
        <v>22119005</v>
      </c>
      <c r="AE1197" s="254">
        <v>3565</v>
      </c>
    </row>
    <row r="1198" spans="27:31" x14ac:dyDescent="0.2">
      <c r="AA1198" s="456">
        <v>22119101</v>
      </c>
      <c r="AE1198" s="254">
        <v>3566</v>
      </c>
    </row>
    <row r="1199" spans="27:31" x14ac:dyDescent="0.2">
      <c r="AA1199" s="456">
        <v>22119105</v>
      </c>
      <c r="AE1199" s="254">
        <v>3567</v>
      </c>
    </row>
    <row r="1200" spans="27:31" x14ac:dyDescent="0.2">
      <c r="AA1200" s="456">
        <v>22119201</v>
      </c>
      <c r="AE1200" s="254">
        <v>3568</v>
      </c>
    </row>
    <row r="1201" spans="27:31" x14ac:dyDescent="0.2">
      <c r="AA1201" s="456">
        <v>22119205</v>
      </c>
      <c r="AE1201" s="254">
        <v>3569</v>
      </c>
    </row>
    <row r="1202" spans="27:31" x14ac:dyDescent="0.2">
      <c r="AA1202" s="648">
        <v>22201001</v>
      </c>
      <c r="AE1202" s="254">
        <v>1610</v>
      </c>
    </row>
    <row r="1203" spans="27:31" x14ac:dyDescent="0.2">
      <c r="AA1203" s="648">
        <v>22201005</v>
      </c>
      <c r="AE1203" s="254">
        <v>1611</v>
      </c>
    </row>
    <row r="1204" spans="27:31" x14ac:dyDescent="0.2">
      <c r="AA1204" s="648">
        <v>22201101</v>
      </c>
      <c r="AE1204" s="254">
        <v>1612</v>
      </c>
    </row>
    <row r="1205" spans="27:31" x14ac:dyDescent="0.2">
      <c r="AA1205" s="648">
        <v>22201105</v>
      </c>
      <c r="AE1205" s="254">
        <v>1613</v>
      </c>
    </row>
    <row r="1206" spans="27:31" x14ac:dyDescent="0.2">
      <c r="AA1206" s="648">
        <v>22201201</v>
      </c>
      <c r="AE1206" s="254">
        <v>1614</v>
      </c>
    </row>
    <row r="1207" spans="27:31" x14ac:dyDescent="0.2">
      <c r="AA1207" s="648">
        <v>22201205</v>
      </c>
      <c r="AE1207" s="254">
        <v>1615</v>
      </c>
    </row>
    <row r="1208" spans="27:31" x14ac:dyDescent="0.2">
      <c r="AA1208" s="648">
        <v>22202001</v>
      </c>
      <c r="AE1208" s="254">
        <v>1616</v>
      </c>
    </row>
    <row r="1209" spans="27:31" x14ac:dyDescent="0.2">
      <c r="AA1209" s="648">
        <v>22202005</v>
      </c>
      <c r="AE1209" s="254">
        <v>1617</v>
      </c>
    </row>
    <row r="1210" spans="27:31" x14ac:dyDescent="0.2">
      <c r="AA1210" s="648">
        <v>22202101</v>
      </c>
      <c r="AE1210" s="254">
        <v>1618</v>
      </c>
    </row>
    <row r="1211" spans="27:31" x14ac:dyDescent="0.2">
      <c r="AA1211" s="648">
        <v>22202105</v>
      </c>
      <c r="AE1211" s="254">
        <v>1619</v>
      </c>
    </row>
    <row r="1212" spans="27:31" x14ac:dyDescent="0.2">
      <c r="AA1212" s="648">
        <v>22202201</v>
      </c>
      <c r="AE1212" s="254">
        <v>1620</v>
      </c>
    </row>
    <row r="1213" spans="27:31" x14ac:dyDescent="0.2">
      <c r="AA1213" s="648">
        <v>22202205</v>
      </c>
      <c r="AE1213" s="254">
        <v>1621</v>
      </c>
    </row>
    <row r="1214" spans="27:31" x14ac:dyDescent="0.2">
      <c r="AA1214" s="648">
        <v>22203001</v>
      </c>
      <c r="AE1214" s="254">
        <v>1622</v>
      </c>
    </row>
    <row r="1215" spans="27:31" x14ac:dyDescent="0.2">
      <c r="AA1215" s="648">
        <v>22203005</v>
      </c>
      <c r="AE1215" s="254">
        <v>1623</v>
      </c>
    </row>
    <row r="1216" spans="27:31" x14ac:dyDescent="0.2">
      <c r="AA1216" s="648">
        <v>22203101</v>
      </c>
      <c r="AE1216" s="254">
        <v>1624</v>
      </c>
    </row>
    <row r="1217" spans="27:31" x14ac:dyDescent="0.2">
      <c r="AA1217" s="648">
        <v>22203105</v>
      </c>
      <c r="AE1217" s="254">
        <v>1625</v>
      </c>
    </row>
    <row r="1218" spans="27:31" x14ac:dyDescent="0.2">
      <c r="AA1218" s="648">
        <v>22203201</v>
      </c>
      <c r="AE1218" s="254">
        <v>1626</v>
      </c>
    </row>
    <row r="1219" spans="27:31" x14ac:dyDescent="0.2">
      <c r="AA1219" s="648">
        <v>22203205</v>
      </c>
      <c r="AE1219" s="254">
        <v>1627</v>
      </c>
    </row>
    <row r="1220" spans="27:31" x14ac:dyDescent="0.2">
      <c r="AA1220" s="648">
        <v>22204001</v>
      </c>
      <c r="AE1220" s="254">
        <v>1628</v>
      </c>
    </row>
    <row r="1221" spans="27:31" x14ac:dyDescent="0.2">
      <c r="AA1221" s="648">
        <v>22204005</v>
      </c>
      <c r="AE1221" s="254">
        <v>1629</v>
      </c>
    </row>
    <row r="1222" spans="27:31" x14ac:dyDescent="0.2">
      <c r="AA1222" s="648">
        <v>22204101</v>
      </c>
      <c r="AE1222" s="254">
        <v>1650</v>
      </c>
    </row>
    <row r="1223" spans="27:31" x14ac:dyDescent="0.2">
      <c r="AA1223" s="648">
        <v>22204105</v>
      </c>
      <c r="AE1223" s="254">
        <v>1651</v>
      </c>
    </row>
    <row r="1224" spans="27:31" x14ac:dyDescent="0.2">
      <c r="AA1224" s="648">
        <v>22204201</v>
      </c>
      <c r="AE1224" s="254">
        <v>1652</v>
      </c>
    </row>
    <row r="1225" spans="27:31" x14ac:dyDescent="0.2">
      <c r="AA1225" s="648">
        <v>22204205</v>
      </c>
      <c r="AE1225" s="254">
        <v>1653</v>
      </c>
    </row>
    <row r="1226" spans="27:31" x14ac:dyDescent="0.2">
      <c r="AA1226" s="648">
        <v>22205001</v>
      </c>
      <c r="AE1226" s="254">
        <v>1654</v>
      </c>
    </row>
    <row r="1227" spans="27:31" x14ac:dyDescent="0.2">
      <c r="AA1227" s="648">
        <v>22205005</v>
      </c>
      <c r="AE1227" s="254">
        <v>1655</v>
      </c>
    </row>
    <row r="1228" spans="27:31" x14ac:dyDescent="0.2">
      <c r="AA1228" s="648">
        <v>22205101</v>
      </c>
      <c r="AE1228" s="254">
        <v>1656</v>
      </c>
    </row>
    <row r="1229" spans="27:31" x14ac:dyDescent="0.2">
      <c r="AA1229" s="648">
        <v>22205105</v>
      </c>
      <c r="AE1229" s="254">
        <v>1657</v>
      </c>
    </row>
    <row r="1230" spans="27:31" x14ac:dyDescent="0.2">
      <c r="AA1230" s="648">
        <v>22205201</v>
      </c>
      <c r="AE1230" s="254">
        <v>1658</v>
      </c>
    </row>
    <row r="1231" spans="27:31" x14ac:dyDescent="0.2">
      <c r="AA1231" s="648">
        <v>22205205</v>
      </c>
      <c r="AE1231" s="254">
        <v>1659</v>
      </c>
    </row>
    <row r="1232" spans="27:31" x14ac:dyDescent="0.2">
      <c r="AA1232" s="456">
        <v>22206001</v>
      </c>
      <c r="AE1232" s="254">
        <v>1660</v>
      </c>
    </row>
    <row r="1233" spans="27:31" x14ac:dyDescent="0.2">
      <c r="AA1233" s="456">
        <v>22206005</v>
      </c>
      <c r="AE1233" s="254">
        <v>1661</v>
      </c>
    </row>
    <row r="1234" spans="27:31" x14ac:dyDescent="0.2">
      <c r="AA1234" s="456">
        <v>22206101</v>
      </c>
      <c r="AE1234" s="254">
        <v>1662</v>
      </c>
    </row>
    <row r="1235" spans="27:31" x14ac:dyDescent="0.2">
      <c r="AA1235" s="456">
        <v>22206105</v>
      </c>
      <c r="AE1235" s="254">
        <v>1663</v>
      </c>
    </row>
    <row r="1236" spans="27:31" x14ac:dyDescent="0.2">
      <c r="AA1236" s="456">
        <v>22206201</v>
      </c>
      <c r="AE1236" s="254">
        <v>1664</v>
      </c>
    </row>
    <row r="1237" spans="27:31" x14ac:dyDescent="0.2">
      <c r="AA1237" s="456">
        <v>22206205</v>
      </c>
      <c r="AE1237" s="254">
        <v>1665</v>
      </c>
    </row>
    <row r="1238" spans="27:31" x14ac:dyDescent="0.2">
      <c r="AA1238" s="456">
        <v>22207001</v>
      </c>
      <c r="AE1238" s="254">
        <v>1666</v>
      </c>
    </row>
    <row r="1239" spans="27:31" x14ac:dyDescent="0.2">
      <c r="AA1239" s="456">
        <v>22207005</v>
      </c>
      <c r="AE1239" s="254">
        <v>1667</v>
      </c>
    </row>
    <row r="1240" spans="27:31" x14ac:dyDescent="0.2">
      <c r="AA1240" s="456">
        <v>22207101</v>
      </c>
      <c r="AE1240" s="254">
        <v>1668</v>
      </c>
    </row>
    <row r="1241" spans="27:31" x14ac:dyDescent="0.2">
      <c r="AA1241" s="456">
        <v>22207105</v>
      </c>
      <c r="AE1241" s="254">
        <v>1669</v>
      </c>
    </row>
    <row r="1242" spans="27:31" x14ac:dyDescent="0.2">
      <c r="AA1242" s="456">
        <v>22207201</v>
      </c>
      <c r="AE1242" s="254">
        <v>2610</v>
      </c>
    </row>
    <row r="1243" spans="27:31" x14ac:dyDescent="0.2">
      <c r="AA1243" s="456">
        <v>22207205</v>
      </c>
      <c r="AE1243" s="254">
        <v>2611</v>
      </c>
    </row>
    <row r="1244" spans="27:31" x14ac:dyDescent="0.2">
      <c r="AA1244" s="456">
        <v>22208001</v>
      </c>
      <c r="AE1244" s="254">
        <v>2612</v>
      </c>
    </row>
    <row r="1245" spans="27:31" x14ac:dyDescent="0.2">
      <c r="AA1245" s="456">
        <v>22208005</v>
      </c>
      <c r="AE1245" s="254">
        <v>2613</v>
      </c>
    </row>
    <row r="1246" spans="27:31" x14ac:dyDescent="0.2">
      <c r="AA1246" s="456">
        <v>22208101</v>
      </c>
      <c r="AE1246" s="254">
        <v>2614</v>
      </c>
    </row>
    <row r="1247" spans="27:31" x14ac:dyDescent="0.2">
      <c r="AA1247" s="456">
        <v>22208105</v>
      </c>
      <c r="AE1247" s="254">
        <v>2615</v>
      </c>
    </row>
    <row r="1248" spans="27:31" x14ac:dyDescent="0.2">
      <c r="AA1248" s="456">
        <v>22208201</v>
      </c>
      <c r="AE1248" s="254">
        <v>2616</v>
      </c>
    </row>
    <row r="1249" spans="27:31" x14ac:dyDescent="0.2">
      <c r="AA1249" s="456">
        <v>22208205</v>
      </c>
      <c r="AE1249" s="254">
        <v>2617</v>
      </c>
    </row>
    <row r="1250" spans="27:31" x14ac:dyDescent="0.2">
      <c r="AA1250" s="456">
        <v>22209001</v>
      </c>
      <c r="AE1250" s="254">
        <v>2618</v>
      </c>
    </row>
    <row r="1251" spans="27:31" x14ac:dyDescent="0.2">
      <c r="AA1251" s="456">
        <v>22209005</v>
      </c>
      <c r="AE1251" s="254">
        <v>2619</v>
      </c>
    </row>
    <row r="1252" spans="27:31" x14ac:dyDescent="0.2">
      <c r="AA1252" s="456">
        <v>22209101</v>
      </c>
      <c r="AE1252" s="254">
        <v>2620</v>
      </c>
    </row>
    <row r="1253" spans="27:31" x14ac:dyDescent="0.2">
      <c r="AA1253" s="456">
        <v>22209105</v>
      </c>
      <c r="AE1253" s="254">
        <v>2621</v>
      </c>
    </row>
    <row r="1254" spans="27:31" x14ac:dyDescent="0.2">
      <c r="AA1254" s="456">
        <v>22209201</v>
      </c>
      <c r="AE1254" s="254">
        <v>2622</v>
      </c>
    </row>
    <row r="1255" spans="27:31" x14ac:dyDescent="0.2">
      <c r="AA1255" s="456">
        <v>22209205</v>
      </c>
      <c r="AE1255" s="254">
        <v>2623</v>
      </c>
    </row>
    <row r="1256" spans="27:31" x14ac:dyDescent="0.2">
      <c r="AA1256" s="456">
        <v>22211001</v>
      </c>
      <c r="AE1256" s="254">
        <v>2624</v>
      </c>
    </row>
    <row r="1257" spans="27:31" x14ac:dyDescent="0.2">
      <c r="AA1257" s="456">
        <v>22211005</v>
      </c>
      <c r="AE1257" s="254">
        <v>2625</v>
      </c>
    </row>
    <row r="1258" spans="27:31" x14ac:dyDescent="0.2">
      <c r="AA1258" s="648">
        <v>22211101</v>
      </c>
      <c r="AE1258" s="254">
        <v>2626</v>
      </c>
    </row>
    <row r="1259" spans="27:31" x14ac:dyDescent="0.2">
      <c r="AA1259" s="648">
        <v>22211105</v>
      </c>
      <c r="AE1259" s="254">
        <v>2627</v>
      </c>
    </row>
    <row r="1260" spans="27:31" x14ac:dyDescent="0.2">
      <c r="AA1260" s="648">
        <v>22211201</v>
      </c>
      <c r="AE1260" s="254">
        <v>2628</v>
      </c>
    </row>
    <row r="1261" spans="27:31" x14ac:dyDescent="0.2">
      <c r="AA1261" s="648">
        <v>22211205</v>
      </c>
      <c r="AE1261" s="254">
        <v>2629</v>
      </c>
    </row>
    <row r="1262" spans="27:31" x14ac:dyDescent="0.2">
      <c r="AA1262" s="648">
        <v>22212001</v>
      </c>
      <c r="AE1262" s="254">
        <v>2650</v>
      </c>
    </row>
    <row r="1263" spans="27:31" x14ac:dyDescent="0.2">
      <c r="AA1263" s="648">
        <v>22212005</v>
      </c>
      <c r="AE1263" s="254">
        <v>2651</v>
      </c>
    </row>
    <row r="1264" spans="27:31" x14ac:dyDescent="0.2">
      <c r="AA1264" s="648">
        <v>22212101</v>
      </c>
      <c r="AE1264" s="254">
        <v>2652</v>
      </c>
    </row>
    <row r="1265" spans="27:31" x14ac:dyDescent="0.2">
      <c r="AA1265" s="648">
        <v>22212105</v>
      </c>
      <c r="AE1265" s="254">
        <v>2653</v>
      </c>
    </row>
    <row r="1266" spans="27:31" x14ac:dyDescent="0.2">
      <c r="AA1266" s="648">
        <v>22212201</v>
      </c>
      <c r="AE1266" s="254">
        <v>2654</v>
      </c>
    </row>
    <row r="1267" spans="27:31" x14ac:dyDescent="0.2">
      <c r="AA1267" s="648">
        <v>22212205</v>
      </c>
      <c r="AE1267" s="254">
        <v>2655</v>
      </c>
    </row>
    <row r="1268" spans="27:31" x14ac:dyDescent="0.2">
      <c r="AA1268" s="648">
        <v>22213001</v>
      </c>
      <c r="AE1268" s="254">
        <v>2656</v>
      </c>
    </row>
    <row r="1269" spans="27:31" x14ac:dyDescent="0.2">
      <c r="AA1269" s="648">
        <v>22213005</v>
      </c>
      <c r="AE1269" s="254">
        <v>2657</v>
      </c>
    </row>
    <row r="1270" spans="27:31" x14ac:dyDescent="0.2">
      <c r="AA1270" s="648">
        <v>22213101</v>
      </c>
      <c r="AE1270" s="254">
        <v>2658</v>
      </c>
    </row>
    <row r="1271" spans="27:31" x14ac:dyDescent="0.2">
      <c r="AA1271" s="648">
        <v>22213105</v>
      </c>
      <c r="AE1271" s="254">
        <v>2659</v>
      </c>
    </row>
    <row r="1272" spans="27:31" x14ac:dyDescent="0.2">
      <c r="AA1272" s="648">
        <v>22213201</v>
      </c>
      <c r="AE1272" s="254">
        <v>2660</v>
      </c>
    </row>
    <row r="1273" spans="27:31" x14ac:dyDescent="0.2">
      <c r="AA1273" s="648">
        <v>22213205</v>
      </c>
      <c r="AE1273" s="254">
        <v>2661</v>
      </c>
    </row>
    <row r="1274" spans="27:31" x14ac:dyDescent="0.2">
      <c r="AA1274" s="648">
        <v>22214001</v>
      </c>
      <c r="AE1274" s="254">
        <v>2662</v>
      </c>
    </row>
    <row r="1275" spans="27:31" x14ac:dyDescent="0.2">
      <c r="AA1275" s="648">
        <v>22214005</v>
      </c>
      <c r="AE1275" s="254">
        <v>2663</v>
      </c>
    </row>
    <row r="1276" spans="27:31" x14ac:dyDescent="0.2">
      <c r="AA1276" s="648">
        <v>22214101</v>
      </c>
      <c r="AE1276" s="254">
        <v>2664</v>
      </c>
    </row>
    <row r="1277" spans="27:31" x14ac:dyDescent="0.2">
      <c r="AA1277" s="648">
        <v>22214105</v>
      </c>
      <c r="AE1277" s="254">
        <v>2665</v>
      </c>
    </row>
    <row r="1278" spans="27:31" x14ac:dyDescent="0.2">
      <c r="AA1278" s="648">
        <v>22214201</v>
      </c>
      <c r="AE1278" s="254">
        <v>2666</v>
      </c>
    </row>
    <row r="1279" spans="27:31" x14ac:dyDescent="0.2">
      <c r="AA1279" s="648">
        <v>22214205</v>
      </c>
      <c r="AE1279" s="254">
        <v>2667</v>
      </c>
    </row>
    <row r="1280" spans="27:31" x14ac:dyDescent="0.2">
      <c r="AA1280" s="648">
        <v>22215001</v>
      </c>
      <c r="AE1280" s="254">
        <v>2668</v>
      </c>
    </row>
    <row r="1281" spans="27:31" x14ac:dyDescent="0.2">
      <c r="AA1281" s="648">
        <v>22215005</v>
      </c>
      <c r="AE1281" s="254">
        <v>2669</v>
      </c>
    </row>
    <row r="1282" spans="27:31" x14ac:dyDescent="0.2">
      <c r="AA1282" s="648">
        <v>22215101</v>
      </c>
      <c r="AE1282" s="254">
        <v>3610</v>
      </c>
    </row>
    <row r="1283" spans="27:31" x14ac:dyDescent="0.2">
      <c r="AA1283" s="648">
        <v>22215105</v>
      </c>
      <c r="AE1283" s="254">
        <v>3611</v>
      </c>
    </row>
    <row r="1284" spans="27:31" x14ac:dyDescent="0.2">
      <c r="AA1284" s="648">
        <v>22215201</v>
      </c>
      <c r="AE1284" s="254">
        <v>3612</v>
      </c>
    </row>
    <row r="1285" spans="27:31" x14ac:dyDescent="0.2">
      <c r="AA1285" s="648">
        <v>22215205</v>
      </c>
      <c r="AE1285" s="254">
        <v>3613</v>
      </c>
    </row>
    <row r="1286" spans="27:31" x14ac:dyDescent="0.2">
      <c r="AA1286" s="456">
        <v>22216001</v>
      </c>
      <c r="AE1286" s="254">
        <v>3614</v>
      </c>
    </row>
    <row r="1287" spans="27:31" x14ac:dyDescent="0.2">
      <c r="AA1287" s="456">
        <v>22216005</v>
      </c>
      <c r="AE1287" s="254">
        <v>3615</v>
      </c>
    </row>
    <row r="1288" spans="27:31" x14ac:dyDescent="0.2">
      <c r="AA1288" s="456">
        <v>22216101</v>
      </c>
      <c r="AE1288" s="254">
        <v>3616</v>
      </c>
    </row>
    <row r="1289" spans="27:31" x14ac:dyDescent="0.2">
      <c r="AA1289" s="456">
        <v>22216105</v>
      </c>
      <c r="AE1289" s="254">
        <v>3617</v>
      </c>
    </row>
    <row r="1290" spans="27:31" x14ac:dyDescent="0.2">
      <c r="AA1290" s="456">
        <v>22216201</v>
      </c>
      <c r="AE1290" s="254">
        <v>3618</v>
      </c>
    </row>
    <row r="1291" spans="27:31" x14ac:dyDescent="0.2">
      <c r="AA1291" s="456">
        <v>22216205</v>
      </c>
      <c r="AE1291" s="254">
        <v>3619</v>
      </c>
    </row>
    <row r="1292" spans="27:31" x14ac:dyDescent="0.2">
      <c r="AA1292" s="456">
        <v>22217001</v>
      </c>
      <c r="AE1292" s="254">
        <v>3620</v>
      </c>
    </row>
    <row r="1293" spans="27:31" x14ac:dyDescent="0.2">
      <c r="AA1293" s="456">
        <v>22217005</v>
      </c>
      <c r="AE1293" s="254">
        <v>3621</v>
      </c>
    </row>
    <row r="1294" spans="27:31" x14ac:dyDescent="0.2">
      <c r="AA1294" s="456">
        <v>22217101</v>
      </c>
      <c r="AE1294" s="254">
        <v>3622</v>
      </c>
    </row>
    <row r="1295" spans="27:31" x14ac:dyDescent="0.2">
      <c r="AA1295" s="456">
        <v>22217105</v>
      </c>
      <c r="AE1295" s="254">
        <v>3623</v>
      </c>
    </row>
    <row r="1296" spans="27:31" x14ac:dyDescent="0.2">
      <c r="AA1296" s="456">
        <v>22217201</v>
      </c>
      <c r="AE1296" s="254">
        <v>3624</v>
      </c>
    </row>
    <row r="1297" spans="27:31" x14ac:dyDescent="0.2">
      <c r="AA1297" s="456">
        <v>22217205</v>
      </c>
      <c r="AE1297" s="254">
        <v>3625</v>
      </c>
    </row>
    <row r="1298" spans="27:31" x14ac:dyDescent="0.2">
      <c r="AA1298" s="456">
        <v>22218001</v>
      </c>
      <c r="AE1298" s="254">
        <v>3626</v>
      </c>
    </row>
    <row r="1299" spans="27:31" x14ac:dyDescent="0.2">
      <c r="AA1299" s="456">
        <v>22218005</v>
      </c>
      <c r="AE1299" s="254">
        <v>3627</v>
      </c>
    </row>
    <row r="1300" spans="27:31" x14ac:dyDescent="0.2">
      <c r="AA1300" s="456">
        <v>22218101</v>
      </c>
      <c r="AE1300" s="254">
        <v>3628</v>
      </c>
    </row>
    <row r="1301" spans="27:31" x14ac:dyDescent="0.2">
      <c r="AA1301" s="456">
        <v>22218105</v>
      </c>
      <c r="AE1301" s="254">
        <v>3629</v>
      </c>
    </row>
    <row r="1302" spans="27:31" x14ac:dyDescent="0.2">
      <c r="AA1302" s="456">
        <v>22218201</v>
      </c>
      <c r="AE1302" s="254">
        <v>3650</v>
      </c>
    </row>
    <row r="1303" spans="27:31" x14ac:dyDescent="0.2">
      <c r="AA1303" s="456">
        <v>22218205</v>
      </c>
      <c r="AE1303" s="254">
        <v>3651</v>
      </c>
    </row>
    <row r="1304" spans="27:31" x14ac:dyDescent="0.2">
      <c r="AA1304" s="456">
        <v>22219001</v>
      </c>
      <c r="AE1304" s="254">
        <v>3652</v>
      </c>
    </row>
    <row r="1305" spans="27:31" x14ac:dyDescent="0.2">
      <c r="AA1305" s="456">
        <v>22219005</v>
      </c>
      <c r="AE1305" s="254">
        <v>3653</v>
      </c>
    </row>
    <row r="1306" spans="27:31" x14ac:dyDescent="0.2">
      <c r="AA1306" s="456">
        <v>22219101</v>
      </c>
      <c r="AE1306" s="254">
        <v>3654</v>
      </c>
    </row>
    <row r="1307" spans="27:31" x14ac:dyDescent="0.2">
      <c r="AA1307" s="456">
        <v>22219105</v>
      </c>
      <c r="AE1307" s="254">
        <v>3655</v>
      </c>
    </row>
    <row r="1308" spans="27:31" x14ac:dyDescent="0.2">
      <c r="AA1308" s="456">
        <v>22219201</v>
      </c>
      <c r="AE1308" s="254">
        <v>3656</v>
      </c>
    </row>
    <row r="1309" spans="27:31" x14ac:dyDescent="0.2">
      <c r="AA1309" s="456">
        <v>22219205</v>
      </c>
      <c r="AE1309" s="254">
        <v>3657</v>
      </c>
    </row>
    <row r="1310" spans="27:31" x14ac:dyDescent="0.2">
      <c r="AA1310" s="648">
        <v>50001001</v>
      </c>
      <c r="AE1310" s="254">
        <v>3658</v>
      </c>
    </row>
    <row r="1311" spans="27:31" x14ac:dyDescent="0.2">
      <c r="AA1311" s="648">
        <v>50001005</v>
      </c>
      <c r="AE1311" s="254">
        <v>3659</v>
      </c>
    </row>
    <row r="1312" spans="27:31" x14ac:dyDescent="0.2">
      <c r="AA1312" s="648">
        <v>50001101</v>
      </c>
      <c r="AE1312" s="254">
        <v>3660</v>
      </c>
    </row>
    <row r="1313" spans="27:31" x14ac:dyDescent="0.2">
      <c r="AA1313" s="648">
        <v>50001105</v>
      </c>
      <c r="AE1313" s="254">
        <v>3661</v>
      </c>
    </row>
    <row r="1314" spans="27:31" x14ac:dyDescent="0.2">
      <c r="AA1314" s="648">
        <v>50001201</v>
      </c>
      <c r="AE1314" s="254">
        <v>3662</v>
      </c>
    </row>
    <row r="1315" spans="27:31" x14ac:dyDescent="0.2">
      <c r="AA1315" s="648">
        <v>50001205</v>
      </c>
      <c r="AE1315" s="254">
        <v>3663</v>
      </c>
    </row>
    <row r="1316" spans="27:31" x14ac:dyDescent="0.2">
      <c r="AA1316" s="648">
        <v>50002001</v>
      </c>
      <c r="AE1316" s="254">
        <v>3664</v>
      </c>
    </row>
    <row r="1317" spans="27:31" x14ac:dyDescent="0.2">
      <c r="AA1317" s="648">
        <v>50002005</v>
      </c>
      <c r="AE1317" s="254">
        <v>3665</v>
      </c>
    </row>
    <row r="1318" spans="27:31" x14ac:dyDescent="0.2">
      <c r="AA1318" s="648">
        <v>50002101</v>
      </c>
      <c r="AE1318" s="254">
        <v>3666</v>
      </c>
    </row>
    <row r="1319" spans="27:31" x14ac:dyDescent="0.2">
      <c r="AA1319" s="648">
        <v>50002105</v>
      </c>
      <c r="AE1319" s="254">
        <v>3667</v>
      </c>
    </row>
    <row r="1320" spans="27:31" x14ac:dyDescent="0.2">
      <c r="AA1320" s="648">
        <v>50002201</v>
      </c>
      <c r="AE1320" s="254">
        <v>3668</v>
      </c>
    </row>
    <row r="1321" spans="27:31" x14ac:dyDescent="0.2">
      <c r="AA1321" s="648">
        <v>50002205</v>
      </c>
      <c r="AE1321" s="254">
        <v>3669</v>
      </c>
    </row>
    <row r="1322" spans="27:31" x14ac:dyDescent="0.2">
      <c r="AA1322" s="648">
        <v>50003001</v>
      </c>
    </row>
    <row r="1323" spans="27:31" x14ac:dyDescent="0.2">
      <c r="AA1323" s="648">
        <v>50003005</v>
      </c>
    </row>
    <row r="1324" spans="27:31" x14ac:dyDescent="0.2">
      <c r="AA1324" s="648">
        <v>50003101</v>
      </c>
    </row>
    <row r="1325" spans="27:31" x14ac:dyDescent="0.2">
      <c r="AA1325" s="648">
        <v>50003105</v>
      </c>
    </row>
    <row r="1326" spans="27:31" x14ac:dyDescent="0.2">
      <c r="AA1326" s="648">
        <v>50003201</v>
      </c>
    </row>
    <row r="1327" spans="27:31" x14ac:dyDescent="0.2">
      <c r="AA1327" s="648">
        <v>50003205</v>
      </c>
    </row>
    <row r="1328" spans="27:31" x14ac:dyDescent="0.2">
      <c r="AA1328" s="648">
        <v>50004001</v>
      </c>
    </row>
    <row r="1329" spans="27:27" x14ac:dyDescent="0.2">
      <c r="AA1329" s="648">
        <v>50004005</v>
      </c>
    </row>
    <row r="1330" spans="27:27" x14ac:dyDescent="0.2">
      <c r="AA1330" s="648">
        <v>50004101</v>
      </c>
    </row>
    <row r="1331" spans="27:27" x14ac:dyDescent="0.2">
      <c r="AA1331" s="648">
        <v>50004105</v>
      </c>
    </row>
    <row r="1332" spans="27:27" x14ac:dyDescent="0.2">
      <c r="AA1332" s="648">
        <v>50004201</v>
      </c>
    </row>
    <row r="1333" spans="27:27" x14ac:dyDescent="0.2">
      <c r="AA1333" s="648">
        <v>50004205</v>
      </c>
    </row>
    <row r="1334" spans="27:27" x14ac:dyDescent="0.2">
      <c r="AA1334" s="648">
        <v>50005001</v>
      </c>
    </row>
    <row r="1335" spans="27:27" x14ac:dyDescent="0.2">
      <c r="AA1335" s="648">
        <v>50005005</v>
      </c>
    </row>
    <row r="1336" spans="27:27" x14ac:dyDescent="0.2">
      <c r="AA1336" s="648">
        <v>50005101</v>
      </c>
    </row>
    <row r="1337" spans="27:27" x14ac:dyDescent="0.2">
      <c r="AA1337" s="648">
        <v>50005105</v>
      </c>
    </row>
    <row r="1338" spans="27:27" x14ac:dyDescent="0.2">
      <c r="AA1338" s="648">
        <v>50005201</v>
      </c>
    </row>
    <row r="1339" spans="27:27" x14ac:dyDescent="0.2">
      <c r="AA1339" s="648">
        <v>50005205</v>
      </c>
    </row>
    <row r="1340" spans="27:27" x14ac:dyDescent="0.2">
      <c r="AA1340" s="456">
        <v>50006001</v>
      </c>
    </row>
    <row r="1341" spans="27:27" x14ac:dyDescent="0.2">
      <c r="AA1341" s="456">
        <v>50006005</v>
      </c>
    </row>
    <row r="1342" spans="27:27" x14ac:dyDescent="0.2">
      <c r="AA1342" s="456">
        <v>50006101</v>
      </c>
    </row>
    <row r="1343" spans="27:27" x14ac:dyDescent="0.2">
      <c r="AA1343" s="456">
        <v>50006105</v>
      </c>
    </row>
    <row r="1344" spans="27:27" x14ac:dyDescent="0.2">
      <c r="AA1344" s="456">
        <v>50006201</v>
      </c>
    </row>
    <row r="1345" spans="27:27" x14ac:dyDescent="0.2">
      <c r="AA1345" s="456">
        <v>50006205</v>
      </c>
    </row>
    <row r="1346" spans="27:27" x14ac:dyDescent="0.2">
      <c r="AA1346" s="456">
        <v>50007001</v>
      </c>
    </row>
    <row r="1347" spans="27:27" x14ac:dyDescent="0.2">
      <c r="AA1347" s="456">
        <v>50007005</v>
      </c>
    </row>
    <row r="1348" spans="27:27" x14ac:dyDescent="0.2">
      <c r="AA1348" s="456">
        <v>50007101</v>
      </c>
    </row>
    <row r="1349" spans="27:27" x14ac:dyDescent="0.2">
      <c r="AA1349" s="456">
        <v>50007105</v>
      </c>
    </row>
    <row r="1350" spans="27:27" x14ac:dyDescent="0.2">
      <c r="AA1350" s="456">
        <v>50007201</v>
      </c>
    </row>
    <row r="1351" spans="27:27" x14ac:dyDescent="0.2">
      <c r="AA1351" s="456">
        <v>50007205</v>
      </c>
    </row>
    <row r="1352" spans="27:27" x14ac:dyDescent="0.2">
      <c r="AA1352" s="456">
        <v>50008001</v>
      </c>
    </row>
    <row r="1353" spans="27:27" x14ac:dyDescent="0.2">
      <c r="AA1353" s="456">
        <v>50008005</v>
      </c>
    </row>
    <row r="1354" spans="27:27" x14ac:dyDescent="0.2">
      <c r="AA1354" s="456">
        <v>50008101</v>
      </c>
    </row>
    <row r="1355" spans="27:27" x14ac:dyDescent="0.2">
      <c r="AA1355" s="456">
        <v>50008105</v>
      </c>
    </row>
    <row r="1356" spans="27:27" x14ac:dyDescent="0.2">
      <c r="AA1356" s="456">
        <v>50008201</v>
      </c>
    </row>
    <row r="1357" spans="27:27" x14ac:dyDescent="0.2">
      <c r="AA1357" s="456">
        <v>50008205</v>
      </c>
    </row>
    <row r="1358" spans="27:27" x14ac:dyDescent="0.2">
      <c r="AA1358" s="456">
        <v>50009001</v>
      </c>
    </row>
    <row r="1359" spans="27:27" x14ac:dyDescent="0.2">
      <c r="AA1359" s="456">
        <v>50009005</v>
      </c>
    </row>
    <row r="1360" spans="27:27" x14ac:dyDescent="0.2">
      <c r="AA1360" s="456">
        <v>50009101</v>
      </c>
    </row>
    <row r="1361" spans="27:27" x14ac:dyDescent="0.2">
      <c r="AA1361" s="456">
        <v>50009105</v>
      </c>
    </row>
    <row r="1362" spans="27:27" x14ac:dyDescent="0.2">
      <c r="AA1362" s="456">
        <v>50009201</v>
      </c>
    </row>
    <row r="1363" spans="27:27" x14ac:dyDescent="0.2">
      <c r="AA1363" s="456">
        <v>50009205</v>
      </c>
    </row>
    <row r="1364" spans="27:27" x14ac:dyDescent="0.2">
      <c r="AA1364" s="456">
        <v>11001501</v>
      </c>
    </row>
    <row r="1365" spans="27:27" x14ac:dyDescent="0.2">
      <c r="AA1365" s="456">
        <v>11001505</v>
      </c>
    </row>
    <row r="1366" spans="27:27" x14ac:dyDescent="0.2">
      <c r="AA1366" s="456">
        <v>11011501</v>
      </c>
    </row>
    <row r="1367" spans="27:27" x14ac:dyDescent="0.2">
      <c r="AA1367" s="456">
        <v>11011501</v>
      </c>
    </row>
    <row r="1368" spans="27:27" x14ac:dyDescent="0.2">
      <c r="AA1368" s="456">
        <v>11011501</v>
      </c>
    </row>
    <row r="1369" spans="27:27" x14ac:dyDescent="0.2">
      <c r="AA1369" s="456">
        <v>11011505</v>
      </c>
    </row>
    <row r="1370" spans="27:27" x14ac:dyDescent="0.2">
      <c r="AA1370" s="456">
        <v>11011505</v>
      </c>
    </row>
    <row r="1371" spans="27:27" x14ac:dyDescent="0.2">
      <c r="AA1371" s="456">
        <v>11021501</v>
      </c>
    </row>
    <row r="1372" spans="27:27" x14ac:dyDescent="0.2">
      <c r="AA1372" s="456">
        <v>11021501</v>
      </c>
    </row>
    <row r="1373" spans="27:27" x14ac:dyDescent="0.2">
      <c r="AA1373" s="456">
        <v>11021505</v>
      </c>
    </row>
    <row r="1374" spans="27:27" x14ac:dyDescent="0.2">
      <c r="AA1374" s="456">
        <v>11021505</v>
      </c>
    </row>
    <row r="1375" spans="27:27" x14ac:dyDescent="0.2">
      <c r="AA1375" s="456">
        <v>11101501</v>
      </c>
    </row>
    <row r="1376" spans="27:27" x14ac:dyDescent="0.2">
      <c r="AA1376" s="456">
        <v>11101505</v>
      </c>
    </row>
    <row r="1377" spans="27:27" x14ac:dyDescent="0.2">
      <c r="AA1377" s="456">
        <v>11111501</v>
      </c>
    </row>
    <row r="1378" spans="27:27" x14ac:dyDescent="0.2">
      <c r="AA1378" s="456">
        <v>11111505</v>
      </c>
    </row>
    <row r="1379" spans="27:27" x14ac:dyDescent="0.2">
      <c r="AA1379" s="456">
        <v>11201501</v>
      </c>
    </row>
    <row r="1380" spans="27:27" x14ac:dyDescent="0.2">
      <c r="AA1380" s="456">
        <v>11201505</v>
      </c>
    </row>
    <row r="1381" spans="27:27" x14ac:dyDescent="0.2">
      <c r="AA1381" s="456">
        <v>11211501</v>
      </c>
    </row>
    <row r="1382" spans="27:27" x14ac:dyDescent="0.2">
      <c r="AA1382" s="456">
        <v>11211505</v>
      </c>
    </row>
    <row r="1383" spans="27:27" x14ac:dyDescent="0.2">
      <c r="AA1383" s="456">
        <v>12001501</v>
      </c>
    </row>
    <row r="1384" spans="27:27" x14ac:dyDescent="0.2">
      <c r="AA1384" s="456">
        <v>12001505</v>
      </c>
    </row>
    <row r="1385" spans="27:27" x14ac:dyDescent="0.2">
      <c r="AA1385" s="456">
        <v>12011501</v>
      </c>
    </row>
    <row r="1386" spans="27:27" x14ac:dyDescent="0.2">
      <c r="AA1386" s="456">
        <v>12011505</v>
      </c>
    </row>
    <row r="1387" spans="27:27" x14ac:dyDescent="0.2">
      <c r="AA1387" s="456">
        <v>12101501</v>
      </c>
    </row>
    <row r="1388" spans="27:27" x14ac:dyDescent="0.2">
      <c r="AA1388" s="456">
        <v>12101505</v>
      </c>
    </row>
    <row r="1389" spans="27:27" x14ac:dyDescent="0.2">
      <c r="AA1389" s="456">
        <v>12111501</v>
      </c>
    </row>
    <row r="1390" spans="27:27" x14ac:dyDescent="0.2">
      <c r="AA1390" s="456">
        <v>12111505</v>
      </c>
    </row>
    <row r="1391" spans="27:27" x14ac:dyDescent="0.2">
      <c r="AA1391" s="456">
        <v>12201501</v>
      </c>
    </row>
    <row r="1392" spans="27:27" x14ac:dyDescent="0.2">
      <c r="AA1392" s="456">
        <v>12201505</v>
      </c>
    </row>
    <row r="1393" spans="27:27" x14ac:dyDescent="0.2">
      <c r="AA1393" s="456">
        <v>12211501</v>
      </c>
    </row>
    <row r="1394" spans="27:27" x14ac:dyDescent="0.2">
      <c r="AA1394" s="456">
        <v>12211505</v>
      </c>
    </row>
    <row r="1395" spans="27:27" x14ac:dyDescent="0.2">
      <c r="AA1395" s="456">
        <v>21001501</v>
      </c>
    </row>
    <row r="1396" spans="27:27" x14ac:dyDescent="0.2">
      <c r="AA1396" s="456">
        <v>21001505</v>
      </c>
    </row>
    <row r="1397" spans="27:27" x14ac:dyDescent="0.2">
      <c r="AA1397" s="456">
        <v>21011501</v>
      </c>
    </row>
    <row r="1398" spans="27:27" x14ac:dyDescent="0.2">
      <c r="AA1398" s="456">
        <v>21011505</v>
      </c>
    </row>
    <row r="1399" spans="27:27" x14ac:dyDescent="0.2">
      <c r="AA1399" s="456">
        <v>21011505</v>
      </c>
    </row>
    <row r="1400" spans="27:27" x14ac:dyDescent="0.2">
      <c r="AA1400" s="456">
        <v>21021501</v>
      </c>
    </row>
    <row r="1401" spans="27:27" x14ac:dyDescent="0.2">
      <c r="AA1401" s="456">
        <v>21021501</v>
      </c>
    </row>
    <row r="1402" spans="27:27" x14ac:dyDescent="0.2">
      <c r="AA1402" s="456">
        <v>21021505</v>
      </c>
    </row>
    <row r="1403" spans="27:27" x14ac:dyDescent="0.2">
      <c r="AA1403" s="456">
        <v>21021505</v>
      </c>
    </row>
    <row r="1404" spans="27:27" x14ac:dyDescent="0.2">
      <c r="AA1404" s="456">
        <v>21101501</v>
      </c>
    </row>
    <row r="1405" spans="27:27" x14ac:dyDescent="0.2">
      <c r="AA1405" s="456">
        <v>21101505</v>
      </c>
    </row>
    <row r="1406" spans="27:27" x14ac:dyDescent="0.2">
      <c r="AA1406" s="456">
        <v>21111501</v>
      </c>
    </row>
    <row r="1407" spans="27:27" x14ac:dyDescent="0.2">
      <c r="AA1407" s="456">
        <v>21111505</v>
      </c>
    </row>
    <row r="1408" spans="27:27" x14ac:dyDescent="0.2">
      <c r="AA1408" s="456">
        <v>21201501</v>
      </c>
    </row>
    <row r="1409" spans="27:27" x14ac:dyDescent="0.2">
      <c r="AA1409" s="456">
        <v>21201505</v>
      </c>
    </row>
    <row r="1410" spans="27:27" x14ac:dyDescent="0.2">
      <c r="AA1410" s="456">
        <v>21211501</v>
      </c>
    </row>
    <row r="1411" spans="27:27" x14ac:dyDescent="0.2">
      <c r="AA1411" s="456">
        <v>21211505</v>
      </c>
    </row>
    <row r="1412" spans="27:27" x14ac:dyDescent="0.2">
      <c r="AA1412" s="456">
        <v>22001501</v>
      </c>
    </row>
    <row r="1413" spans="27:27" x14ac:dyDescent="0.2">
      <c r="AA1413" s="456">
        <v>22001505</v>
      </c>
    </row>
    <row r="1414" spans="27:27" x14ac:dyDescent="0.2">
      <c r="AA1414" s="456">
        <v>22011501</v>
      </c>
    </row>
    <row r="1415" spans="27:27" x14ac:dyDescent="0.2">
      <c r="AA1415" s="456">
        <v>22011505</v>
      </c>
    </row>
    <row r="1416" spans="27:27" x14ac:dyDescent="0.2">
      <c r="AA1416" s="456">
        <v>22101501</v>
      </c>
    </row>
    <row r="1417" spans="27:27" x14ac:dyDescent="0.2">
      <c r="AA1417" s="456">
        <v>22101505</v>
      </c>
    </row>
    <row r="1418" spans="27:27" x14ac:dyDescent="0.2">
      <c r="AA1418" s="456">
        <v>22111501</v>
      </c>
    </row>
    <row r="1419" spans="27:27" x14ac:dyDescent="0.2">
      <c r="AA1419" s="456">
        <v>22111505</v>
      </c>
    </row>
    <row r="1420" spans="27:27" x14ac:dyDescent="0.2">
      <c r="AA1420" s="456">
        <v>22201501</v>
      </c>
    </row>
    <row r="1421" spans="27:27" x14ac:dyDescent="0.2">
      <c r="AA1421" s="456">
        <v>22201505</v>
      </c>
    </row>
    <row r="1422" spans="27:27" x14ac:dyDescent="0.2">
      <c r="AA1422" s="456">
        <v>22211501</v>
      </c>
    </row>
    <row r="1423" spans="27:27" x14ac:dyDescent="0.2">
      <c r="AA1423" s="456">
        <v>22211505</v>
      </c>
    </row>
    <row r="1424" spans="27:27" x14ac:dyDescent="0.2">
      <c r="AA1424" s="456">
        <v>50001501</v>
      </c>
    </row>
    <row r="1425" spans="27:27" x14ac:dyDescent="0.2">
      <c r="AA1425" s="456">
        <v>50001505</v>
      </c>
    </row>
    <row r="1426" spans="27:27" x14ac:dyDescent="0.2">
      <c r="AA1426" s="456">
        <v>11002501</v>
      </c>
    </row>
    <row r="1427" spans="27:27" x14ac:dyDescent="0.2">
      <c r="AA1427" s="456">
        <v>11002505</v>
      </c>
    </row>
    <row r="1428" spans="27:27" x14ac:dyDescent="0.2">
      <c r="AA1428" s="456">
        <v>11012501</v>
      </c>
    </row>
    <row r="1429" spans="27:27" x14ac:dyDescent="0.2">
      <c r="AA1429" s="456">
        <v>11012501</v>
      </c>
    </row>
    <row r="1430" spans="27:27" x14ac:dyDescent="0.2">
      <c r="AA1430" s="456">
        <v>11012501</v>
      </c>
    </row>
    <row r="1431" spans="27:27" x14ac:dyDescent="0.2">
      <c r="AA1431" s="456">
        <v>11012505</v>
      </c>
    </row>
    <row r="1432" spans="27:27" x14ac:dyDescent="0.2">
      <c r="AA1432" s="456">
        <v>11012505</v>
      </c>
    </row>
    <row r="1433" spans="27:27" x14ac:dyDescent="0.2">
      <c r="AA1433" s="456">
        <v>11022501</v>
      </c>
    </row>
    <row r="1434" spans="27:27" x14ac:dyDescent="0.2">
      <c r="AA1434" s="456">
        <v>11022501</v>
      </c>
    </row>
    <row r="1435" spans="27:27" x14ac:dyDescent="0.2">
      <c r="AA1435" s="456">
        <v>11022505</v>
      </c>
    </row>
    <row r="1436" spans="27:27" x14ac:dyDescent="0.2">
      <c r="AA1436" s="456">
        <v>11022505</v>
      </c>
    </row>
    <row r="1437" spans="27:27" x14ac:dyDescent="0.2">
      <c r="AA1437" s="456">
        <v>11102501</v>
      </c>
    </row>
    <row r="1438" spans="27:27" x14ac:dyDescent="0.2">
      <c r="AA1438" s="456">
        <v>11102505</v>
      </c>
    </row>
    <row r="1439" spans="27:27" x14ac:dyDescent="0.2">
      <c r="AA1439" s="456">
        <v>11112501</v>
      </c>
    </row>
    <row r="1440" spans="27:27" x14ac:dyDescent="0.2">
      <c r="AA1440" s="456">
        <v>11112505</v>
      </c>
    </row>
    <row r="1441" spans="27:27" x14ac:dyDescent="0.2">
      <c r="AA1441" s="456">
        <v>11202501</v>
      </c>
    </row>
    <row r="1442" spans="27:27" x14ac:dyDescent="0.2">
      <c r="AA1442" s="456">
        <v>11202505</v>
      </c>
    </row>
    <row r="1443" spans="27:27" x14ac:dyDescent="0.2">
      <c r="AA1443" s="456">
        <v>11212501</v>
      </c>
    </row>
    <row r="1444" spans="27:27" x14ac:dyDescent="0.2">
      <c r="AA1444" s="456">
        <v>11212505</v>
      </c>
    </row>
    <row r="1445" spans="27:27" x14ac:dyDescent="0.2">
      <c r="AA1445" s="456">
        <v>12002501</v>
      </c>
    </row>
    <row r="1446" spans="27:27" x14ac:dyDescent="0.2">
      <c r="AA1446" s="456">
        <v>12002505</v>
      </c>
    </row>
    <row r="1447" spans="27:27" x14ac:dyDescent="0.2">
      <c r="AA1447" s="456">
        <v>12012501</v>
      </c>
    </row>
    <row r="1448" spans="27:27" x14ac:dyDescent="0.2">
      <c r="AA1448" s="456">
        <v>12012505</v>
      </c>
    </row>
    <row r="1449" spans="27:27" x14ac:dyDescent="0.2">
      <c r="AA1449" s="456">
        <v>12102501</v>
      </c>
    </row>
    <row r="1450" spans="27:27" x14ac:dyDescent="0.2">
      <c r="AA1450" s="456">
        <v>12102505</v>
      </c>
    </row>
    <row r="1451" spans="27:27" x14ac:dyDescent="0.2">
      <c r="AA1451" s="456">
        <v>12112501</v>
      </c>
    </row>
    <row r="1452" spans="27:27" x14ac:dyDescent="0.2">
      <c r="AA1452" s="456">
        <v>12112505</v>
      </c>
    </row>
    <row r="1453" spans="27:27" x14ac:dyDescent="0.2">
      <c r="AA1453" s="456">
        <v>12202501</v>
      </c>
    </row>
    <row r="1454" spans="27:27" x14ac:dyDescent="0.2">
      <c r="AA1454" s="456">
        <v>12202505</v>
      </c>
    </row>
    <row r="1455" spans="27:27" x14ac:dyDescent="0.2">
      <c r="AA1455" s="456">
        <v>12212501</v>
      </c>
    </row>
    <row r="1456" spans="27:27" x14ac:dyDescent="0.2">
      <c r="AA1456" s="456">
        <v>12212505</v>
      </c>
    </row>
    <row r="1457" spans="27:27" x14ac:dyDescent="0.2">
      <c r="AA1457" s="456">
        <v>21002501</v>
      </c>
    </row>
    <row r="1458" spans="27:27" x14ac:dyDescent="0.2">
      <c r="AA1458" s="456">
        <v>21002505</v>
      </c>
    </row>
    <row r="1459" spans="27:27" x14ac:dyDescent="0.2">
      <c r="AA1459" s="456">
        <v>21012501</v>
      </c>
    </row>
    <row r="1460" spans="27:27" x14ac:dyDescent="0.2">
      <c r="AA1460" s="456">
        <v>21012505</v>
      </c>
    </row>
    <row r="1461" spans="27:27" x14ac:dyDescent="0.2">
      <c r="AA1461" s="456">
        <v>21012505</v>
      </c>
    </row>
    <row r="1462" spans="27:27" x14ac:dyDescent="0.2">
      <c r="AA1462" s="456">
        <v>21022501</v>
      </c>
    </row>
    <row r="1463" spans="27:27" x14ac:dyDescent="0.2">
      <c r="AA1463" s="456">
        <v>21022501</v>
      </c>
    </row>
    <row r="1464" spans="27:27" x14ac:dyDescent="0.2">
      <c r="AA1464" s="456">
        <v>21022505</v>
      </c>
    </row>
    <row r="1465" spans="27:27" x14ac:dyDescent="0.2">
      <c r="AA1465" s="456">
        <v>21022505</v>
      </c>
    </row>
    <row r="1466" spans="27:27" x14ac:dyDescent="0.2">
      <c r="AA1466" s="456">
        <v>21102501</v>
      </c>
    </row>
    <row r="1467" spans="27:27" x14ac:dyDescent="0.2">
      <c r="AA1467" s="456">
        <v>21102505</v>
      </c>
    </row>
    <row r="1468" spans="27:27" x14ac:dyDescent="0.2">
      <c r="AA1468" s="456">
        <v>21112501</v>
      </c>
    </row>
    <row r="1469" spans="27:27" x14ac:dyDescent="0.2">
      <c r="AA1469" s="456">
        <v>21112505</v>
      </c>
    </row>
    <row r="1470" spans="27:27" x14ac:dyDescent="0.2">
      <c r="AA1470" s="456">
        <v>21202501</v>
      </c>
    </row>
    <row r="1471" spans="27:27" x14ac:dyDescent="0.2">
      <c r="AA1471" s="456">
        <v>21202505</v>
      </c>
    </row>
    <row r="1472" spans="27:27" x14ac:dyDescent="0.2">
      <c r="AA1472" s="456">
        <v>21212501</v>
      </c>
    </row>
    <row r="1473" spans="27:27" x14ac:dyDescent="0.2">
      <c r="AA1473" s="456">
        <v>21212505</v>
      </c>
    </row>
    <row r="1474" spans="27:27" x14ac:dyDescent="0.2">
      <c r="AA1474" s="456">
        <v>22002501</v>
      </c>
    </row>
    <row r="1475" spans="27:27" x14ac:dyDescent="0.2">
      <c r="AA1475" s="456">
        <v>22002505</v>
      </c>
    </row>
    <row r="1476" spans="27:27" x14ac:dyDescent="0.2">
      <c r="AA1476" s="456">
        <v>22012501</v>
      </c>
    </row>
    <row r="1477" spans="27:27" x14ac:dyDescent="0.2">
      <c r="AA1477" s="456">
        <v>22012505</v>
      </c>
    </row>
    <row r="1478" spans="27:27" x14ac:dyDescent="0.2">
      <c r="AA1478" s="456">
        <v>22102501</v>
      </c>
    </row>
    <row r="1479" spans="27:27" x14ac:dyDescent="0.2">
      <c r="AA1479" s="456">
        <v>22102505</v>
      </c>
    </row>
    <row r="1480" spans="27:27" x14ac:dyDescent="0.2">
      <c r="AA1480" s="456">
        <v>22112501</v>
      </c>
    </row>
    <row r="1481" spans="27:27" x14ac:dyDescent="0.2">
      <c r="AA1481" s="456">
        <v>22112505</v>
      </c>
    </row>
    <row r="1482" spans="27:27" x14ac:dyDescent="0.2">
      <c r="AA1482" s="456">
        <v>22202501</v>
      </c>
    </row>
    <row r="1483" spans="27:27" x14ac:dyDescent="0.2">
      <c r="AA1483" s="456">
        <v>22202505</v>
      </c>
    </row>
    <row r="1484" spans="27:27" x14ac:dyDescent="0.2">
      <c r="AA1484" s="456">
        <v>22212501</v>
      </c>
    </row>
    <row r="1485" spans="27:27" x14ac:dyDescent="0.2">
      <c r="AA1485" s="456">
        <v>22212505</v>
      </c>
    </row>
    <row r="1486" spans="27:27" x14ac:dyDescent="0.2">
      <c r="AA1486" s="456">
        <v>50002501</v>
      </c>
    </row>
    <row r="1487" spans="27:27" x14ac:dyDescent="0.2">
      <c r="AA1487" s="456">
        <v>50002505</v>
      </c>
    </row>
    <row r="1488" spans="27:27" x14ac:dyDescent="0.2">
      <c r="AA1488" s="456">
        <v>11003501</v>
      </c>
    </row>
    <row r="1489" spans="27:27" x14ac:dyDescent="0.2">
      <c r="AA1489" s="456">
        <v>11003505</v>
      </c>
    </row>
    <row r="1490" spans="27:27" x14ac:dyDescent="0.2">
      <c r="AA1490" s="456">
        <v>11013501</v>
      </c>
    </row>
    <row r="1491" spans="27:27" x14ac:dyDescent="0.2">
      <c r="AA1491" s="456">
        <v>11013501</v>
      </c>
    </row>
    <row r="1492" spans="27:27" x14ac:dyDescent="0.2">
      <c r="AA1492" s="456">
        <v>11013501</v>
      </c>
    </row>
    <row r="1493" spans="27:27" x14ac:dyDescent="0.2">
      <c r="AA1493" s="456">
        <v>11013505</v>
      </c>
    </row>
    <row r="1494" spans="27:27" x14ac:dyDescent="0.2">
      <c r="AA1494" s="456">
        <v>11013505</v>
      </c>
    </row>
    <row r="1495" spans="27:27" x14ac:dyDescent="0.2">
      <c r="AA1495" s="456">
        <v>11023501</v>
      </c>
    </row>
    <row r="1496" spans="27:27" x14ac:dyDescent="0.2">
      <c r="AA1496" s="456">
        <v>11023501</v>
      </c>
    </row>
    <row r="1497" spans="27:27" x14ac:dyDescent="0.2">
      <c r="AA1497" s="456">
        <v>11023505</v>
      </c>
    </row>
    <row r="1498" spans="27:27" x14ac:dyDescent="0.2">
      <c r="AA1498" s="456">
        <v>11023505</v>
      </c>
    </row>
    <row r="1499" spans="27:27" x14ac:dyDescent="0.2">
      <c r="AA1499" s="456">
        <v>11103501</v>
      </c>
    </row>
    <row r="1500" spans="27:27" x14ac:dyDescent="0.2">
      <c r="AA1500" s="456">
        <v>11103505</v>
      </c>
    </row>
    <row r="1501" spans="27:27" x14ac:dyDescent="0.2">
      <c r="AA1501" s="456">
        <v>11113501</v>
      </c>
    </row>
    <row r="1502" spans="27:27" x14ac:dyDescent="0.2">
      <c r="AA1502" s="456">
        <v>11113505</v>
      </c>
    </row>
    <row r="1503" spans="27:27" x14ac:dyDescent="0.2">
      <c r="AA1503" s="456">
        <v>11203501</v>
      </c>
    </row>
    <row r="1504" spans="27:27" x14ac:dyDescent="0.2">
      <c r="AA1504" s="456">
        <v>11203505</v>
      </c>
    </row>
    <row r="1505" spans="27:27" x14ac:dyDescent="0.2">
      <c r="AA1505" s="456">
        <v>11213501</v>
      </c>
    </row>
    <row r="1506" spans="27:27" x14ac:dyDescent="0.2">
      <c r="AA1506" s="456">
        <v>11213505</v>
      </c>
    </row>
    <row r="1507" spans="27:27" x14ac:dyDescent="0.2">
      <c r="AA1507" s="456">
        <v>12003501</v>
      </c>
    </row>
    <row r="1508" spans="27:27" x14ac:dyDescent="0.2">
      <c r="AA1508" s="456">
        <v>12003505</v>
      </c>
    </row>
    <row r="1509" spans="27:27" x14ac:dyDescent="0.2">
      <c r="AA1509" s="456">
        <v>12013501</v>
      </c>
    </row>
    <row r="1510" spans="27:27" x14ac:dyDescent="0.2">
      <c r="AA1510" s="456">
        <v>12013505</v>
      </c>
    </row>
    <row r="1511" spans="27:27" x14ac:dyDescent="0.2">
      <c r="AA1511" s="456">
        <v>12103501</v>
      </c>
    </row>
    <row r="1512" spans="27:27" x14ac:dyDescent="0.2">
      <c r="AA1512" s="456">
        <v>12103505</v>
      </c>
    </row>
    <row r="1513" spans="27:27" x14ac:dyDescent="0.2">
      <c r="AA1513" s="456">
        <v>12113501</v>
      </c>
    </row>
    <row r="1514" spans="27:27" x14ac:dyDescent="0.2">
      <c r="AA1514" s="456">
        <v>12113505</v>
      </c>
    </row>
    <row r="1515" spans="27:27" x14ac:dyDescent="0.2">
      <c r="AA1515" s="456">
        <v>12203501</v>
      </c>
    </row>
    <row r="1516" spans="27:27" x14ac:dyDescent="0.2">
      <c r="AA1516" s="456">
        <v>12203505</v>
      </c>
    </row>
    <row r="1517" spans="27:27" x14ac:dyDescent="0.2">
      <c r="AA1517" s="456">
        <v>12213501</v>
      </c>
    </row>
    <row r="1518" spans="27:27" x14ac:dyDescent="0.2">
      <c r="AA1518" s="456">
        <v>12213505</v>
      </c>
    </row>
    <row r="1519" spans="27:27" x14ac:dyDescent="0.2">
      <c r="AA1519" s="456">
        <v>21003501</v>
      </c>
    </row>
    <row r="1520" spans="27:27" x14ac:dyDescent="0.2">
      <c r="AA1520" s="456">
        <v>21003505</v>
      </c>
    </row>
    <row r="1521" spans="27:27" x14ac:dyDescent="0.2">
      <c r="AA1521" s="456">
        <v>21013501</v>
      </c>
    </row>
    <row r="1522" spans="27:27" x14ac:dyDescent="0.2">
      <c r="AA1522" s="456">
        <v>21013505</v>
      </c>
    </row>
    <row r="1523" spans="27:27" x14ac:dyDescent="0.2">
      <c r="AA1523" s="456">
        <v>21013505</v>
      </c>
    </row>
    <row r="1524" spans="27:27" x14ac:dyDescent="0.2">
      <c r="AA1524" s="456">
        <v>21023501</v>
      </c>
    </row>
    <row r="1525" spans="27:27" x14ac:dyDescent="0.2">
      <c r="AA1525" s="456">
        <v>21023501</v>
      </c>
    </row>
    <row r="1526" spans="27:27" x14ac:dyDescent="0.2">
      <c r="AA1526" s="456">
        <v>21023505</v>
      </c>
    </row>
    <row r="1527" spans="27:27" x14ac:dyDescent="0.2">
      <c r="AA1527" s="456">
        <v>21023505</v>
      </c>
    </row>
    <row r="1528" spans="27:27" x14ac:dyDescent="0.2">
      <c r="AA1528" s="456">
        <v>21103501</v>
      </c>
    </row>
    <row r="1529" spans="27:27" x14ac:dyDescent="0.2">
      <c r="AA1529" s="456">
        <v>21103505</v>
      </c>
    </row>
    <row r="1530" spans="27:27" x14ac:dyDescent="0.2">
      <c r="AA1530" s="456">
        <v>21113501</v>
      </c>
    </row>
    <row r="1531" spans="27:27" x14ac:dyDescent="0.2">
      <c r="AA1531" s="456">
        <v>21113505</v>
      </c>
    </row>
    <row r="1532" spans="27:27" x14ac:dyDescent="0.2">
      <c r="AA1532" s="456">
        <v>21203501</v>
      </c>
    </row>
    <row r="1533" spans="27:27" x14ac:dyDescent="0.2">
      <c r="AA1533" s="456">
        <v>21203505</v>
      </c>
    </row>
    <row r="1534" spans="27:27" x14ac:dyDescent="0.2">
      <c r="AA1534" s="456">
        <v>21213501</v>
      </c>
    </row>
    <row r="1535" spans="27:27" x14ac:dyDescent="0.2">
      <c r="AA1535" s="456">
        <v>21213505</v>
      </c>
    </row>
    <row r="1536" spans="27:27" x14ac:dyDescent="0.2">
      <c r="AA1536" s="456">
        <v>22003501</v>
      </c>
    </row>
    <row r="1537" spans="27:27" x14ac:dyDescent="0.2">
      <c r="AA1537" s="456">
        <v>22003505</v>
      </c>
    </row>
    <row r="1538" spans="27:27" x14ac:dyDescent="0.2">
      <c r="AA1538" s="456">
        <v>22013501</v>
      </c>
    </row>
    <row r="1539" spans="27:27" x14ac:dyDescent="0.2">
      <c r="AA1539" s="456">
        <v>22013505</v>
      </c>
    </row>
    <row r="1540" spans="27:27" x14ac:dyDescent="0.2">
      <c r="AA1540" s="456">
        <v>22103501</v>
      </c>
    </row>
    <row r="1541" spans="27:27" x14ac:dyDescent="0.2">
      <c r="AA1541" s="456">
        <v>22103505</v>
      </c>
    </row>
    <row r="1542" spans="27:27" x14ac:dyDescent="0.2">
      <c r="AA1542" s="456">
        <v>22113501</v>
      </c>
    </row>
    <row r="1543" spans="27:27" x14ac:dyDescent="0.2">
      <c r="AA1543" s="456">
        <v>22113505</v>
      </c>
    </row>
    <row r="1544" spans="27:27" x14ac:dyDescent="0.2">
      <c r="AA1544" s="456">
        <v>22203501</v>
      </c>
    </row>
    <row r="1545" spans="27:27" x14ac:dyDescent="0.2">
      <c r="AA1545" s="456">
        <v>22203505</v>
      </c>
    </row>
    <row r="1546" spans="27:27" x14ac:dyDescent="0.2">
      <c r="AA1546" s="456">
        <v>22213501</v>
      </c>
    </row>
    <row r="1547" spans="27:27" x14ac:dyDescent="0.2">
      <c r="AA1547" s="456">
        <v>22213505</v>
      </c>
    </row>
    <row r="1548" spans="27:27" x14ac:dyDescent="0.2">
      <c r="AA1548" s="456">
        <v>50003501</v>
      </c>
    </row>
    <row r="1549" spans="27:27" x14ac:dyDescent="0.2">
      <c r="AA1549" s="456">
        <v>50003505</v>
      </c>
    </row>
    <row r="1550" spans="27:27" x14ac:dyDescent="0.2">
      <c r="AA1550" s="456">
        <v>11001601</v>
      </c>
    </row>
    <row r="1551" spans="27:27" x14ac:dyDescent="0.2">
      <c r="AA1551" s="456">
        <v>11001605</v>
      </c>
    </row>
    <row r="1552" spans="27:27" x14ac:dyDescent="0.2">
      <c r="AA1552" s="456">
        <v>11011601</v>
      </c>
    </row>
    <row r="1553" spans="27:27" x14ac:dyDescent="0.2">
      <c r="AA1553" s="456">
        <v>11011601</v>
      </c>
    </row>
    <row r="1554" spans="27:27" x14ac:dyDescent="0.2">
      <c r="AA1554" s="456">
        <v>11011601</v>
      </c>
    </row>
    <row r="1555" spans="27:27" x14ac:dyDescent="0.2">
      <c r="AA1555" s="456">
        <v>11011605</v>
      </c>
    </row>
    <row r="1556" spans="27:27" x14ac:dyDescent="0.2">
      <c r="AA1556" s="456">
        <v>11011605</v>
      </c>
    </row>
    <row r="1557" spans="27:27" x14ac:dyDescent="0.2">
      <c r="AA1557" s="456">
        <v>11021601</v>
      </c>
    </row>
    <row r="1558" spans="27:27" x14ac:dyDescent="0.2">
      <c r="AA1558" s="456">
        <v>11021601</v>
      </c>
    </row>
    <row r="1559" spans="27:27" x14ac:dyDescent="0.2">
      <c r="AA1559" s="456">
        <v>11021605</v>
      </c>
    </row>
    <row r="1560" spans="27:27" x14ac:dyDescent="0.2">
      <c r="AA1560" s="456">
        <v>11021605</v>
      </c>
    </row>
    <row r="1561" spans="27:27" x14ac:dyDescent="0.2">
      <c r="AA1561" s="456">
        <v>11101601</v>
      </c>
    </row>
    <row r="1562" spans="27:27" x14ac:dyDescent="0.2">
      <c r="AA1562" s="456">
        <v>11101605</v>
      </c>
    </row>
    <row r="1563" spans="27:27" x14ac:dyDescent="0.2">
      <c r="AA1563" s="456">
        <v>11111601</v>
      </c>
    </row>
    <row r="1564" spans="27:27" x14ac:dyDescent="0.2">
      <c r="AA1564" s="456">
        <v>11111605</v>
      </c>
    </row>
    <row r="1565" spans="27:27" x14ac:dyDescent="0.2">
      <c r="AA1565" s="456">
        <v>11201601</v>
      </c>
    </row>
    <row r="1566" spans="27:27" x14ac:dyDescent="0.2">
      <c r="AA1566" s="456">
        <v>11201605</v>
      </c>
    </row>
    <row r="1567" spans="27:27" x14ac:dyDescent="0.2">
      <c r="AA1567" s="456">
        <v>11211601</v>
      </c>
    </row>
    <row r="1568" spans="27:27" x14ac:dyDescent="0.2">
      <c r="AA1568" s="456">
        <v>11211605</v>
      </c>
    </row>
    <row r="1569" spans="27:27" x14ac:dyDescent="0.2">
      <c r="AA1569" s="456">
        <v>12001601</v>
      </c>
    </row>
    <row r="1570" spans="27:27" x14ac:dyDescent="0.2">
      <c r="AA1570" s="456">
        <v>12001605</v>
      </c>
    </row>
    <row r="1571" spans="27:27" x14ac:dyDescent="0.2">
      <c r="AA1571" s="456">
        <v>12011601</v>
      </c>
    </row>
    <row r="1572" spans="27:27" x14ac:dyDescent="0.2">
      <c r="AA1572" s="456">
        <v>12011605</v>
      </c>
    </row>
    <row r="1573" spans="27:27" x14ac:dyDescent="0.2">
      <c r="AA1573" s="456">
        <v>12101601</v>
      </c>
    </row>
    <row r="1574" spans="27:27" x14ac:dyDescent="0.2">
      <c r="AA1574" s="456">
        <v>12101605</v>
      </c>
    </row>
    <row r="1575" spans="27:27" x14ac:dyDescent="0.2">
      <c r="AA1575" s="456">
        <v>12111601</v>
      </c>
    </row>
    <row r="1576" spans="27:27" x14ac:dyDescent="0.2">
      <c r="AA1576" s="456">
        <v>12111605</v>
      </c>
    </row>
    <row r="1577" spans="27:27" x14ac:dyDescent="0.2">
      <c r="AA1577" s="456">
        <v>12201601</v>
      </c>
    </row>
    <row r="1578" spans="27:27" x14ac:dyDescent="0.2">
      <c r="AA1578" s="456">
        <v>12201605</v>
      </c>
    </row>
    <row r="1579" spans="27:27" x14ac:dyDescent="0.2">
      <c r="AA1579" s="456">
        <v>12211601</v>
      </c>
    </row>
    <row r="1580" spans="27:27" x14ac:dyDescent="0.2">
      <c r="AA1580" s="456">
        <v>12211605</v>
      </c>
    </row>
    <row r="1581" spans="27:27" x14ac:dyDescent="0.2">
      <c r="AA1581" s="456">
        <v>21001601</v>
      </c>
    </row>
    <row r="1582" spans="27:27" x14ac:dyDescent="0.2">
      <c r="AA1582" s="456">
        <v>21001605</v>
      </c>
    </row>
    <row r="1583" spans="27:27" x14ac:dyDescent="0.2">
      <c r="AA1583" s="456">
        <v>21011601</v>
      </c>
    </row>
    <row r="1584" spans="27:27" x14ac:dyDescent="0.2">
      <c r="AA1584" s="456">
        <v>21011605</v>
      </c>
    </row>
    <row r="1585" spans="27:27" x14ac:dyDescent="0.2">
      <c r="AA1585" s="456">
        <v>21011605</v>
      </c>
    </row>
    <row r="1586" spans="27:27" x14ac:dyDescent="0.2">
      <c r="AA1586" s="456">
        <v>21021601</v>
      </c>
    </row>
    <row r="1587" spans="27:27" x14ac:dyDescent="0.2">
      <c r="AA1587" s="456">
        <v>21021601</v>
      </c>
    </row>
    <row r="1588" spans="27:27" x14ac:dyDescent="0.2">
      <c r="AA1588" s="456">
        <v>21021605</v>
      </c>
    </row>
    <row r="1589" spans="27:27" x14ac:dyDescent="0.2">
      <c r="AA1589" s="456">
        <v>21021605</v>
      </c>
    </row>
    <row r="1590" spans="27:27" x14ac:dyDescent="0.2">
      <c r="AA1590" s="456">
        <v>21101601</v>
      </c>
    </row>
    <row r="1591" spans="27:27" x14ac:dyDescent="0.2">
      <c r="AA1591" s="456">
        <v>21101605</v>
      </c>
    </row>
    <row r="1592" spans="27:27" x14ac:dyDescent="0.2">
      <c r="AA1592" s="456">
        <v>21111601</v>
      </c>
    </row>
    <row r="1593" spans="27:27" x14ac:dyDescent="0.2">
      <c r="AA1593" s="456">
        <v>21111605</v>
      </c>
    </row>
    <row r="1594" spans="27:27" x14ac:dyDescent="0.2">
      <c r="AA1594" s="456">
        <v>21201601</v>
      </c>
    </row>
    <row r="1595" spans="27:27" x14ac:dyDescent="0.2">
      <c r="AA1595" s="456">
        <v>21201605</v>
      </c>
    </row>
    <row r="1596" spans="27:27" x14ac:dyDescent="0.2">
      <c r="AA1596" s="456">
        <v>21211601</v>
      </c>
    </row>
    <row r="1597" spans="27:27" x14ac:dyDescent="0.2">
      <c r="AA1597" s="456">
        <v>21211605</v>
      </c>
    </row>
    <row r="1598" spans="27:27" x14ac:dyDescent="0.2">
      <c r="AA1598" s="456">
        <v>22001601</v>
      </c>
    </row>
    <row r="1599" spans="27:27" x14ac:dyDescent="0.2">
      <c r="AA1599" s="456">
        <v>22001605</v>
      </c>
    </row>
    <row r="1600" spans="27:27" x14ac:dyDescent="0.2">
      <c r="AA1600" s="456">
        <v>22011601</v>
      </c>
    </row>
    <row r="1601" spans="27:27" x14ac:dyDescent="0.2">
      <c r="AA1601" s="456">
        <v>22011605</v>
      </c>
    </row>
    <row r="1602" spans="27:27" x14ac:dyDescent="0.2">
      <c r="AA1602" s="456">
        <v>22101601</v>
      </c>
    </row>
    <row r="1603" spans="27:27" x14ac:dyDescent="0.2">
      <c r="AA1603" s="456">
        <v>22101605</v>
      </c>
    </row>
    <row r="1604" spans="27:27" x14ac:dyDescent="0.2">
      <c r="AA1604" s="456">
        <v>22111601</v>
      </c>
    </row>
    <row r="1605" spans="27:27" x14ac:dyDescent="0.2">
      <c r="AA1605" s="456">
        <v>22111605</v>
      </c>
    </row>
    <row r="1606" spans="27:27" x14ac:dyDescent="0.2">
      <c r="AA1606" s="456">
        <v>22201601</v>
      </c>
    </row>
    <row r="1607" spans="27:27" x14ac:dyDescent="0.2">
      <c r="AA1607" s="456">
        <v>22201605</v>
      </c>
    </row>
    <row r="1608" spans="27:27" x14ac:dyDescent="0.2">
      <c r="AA1608" s="456">
        <v>22211601</v>
      </c>
    </row>
    <row r="1609" spans="27:27" x14ac:dyDescent="0.2">
      <c r="AA1609" s="456">
        <v>22211605</v>
      </c>
    </row>
    <row r="1610" spans="27:27" x14ac:dyDescent="0.2">
      <c r="AA1610" s="456">
        <v>50001601</v>
      </c>
    </row>
    <row r="1611" spans="27:27" x14ac:dyDescent="0.2">
      <c r="AA1611" s="456">
        <v>50001605</v>
      </c>
    </row>
    <row r="1612" spans="27:27" x14ac:dyDescent="0.2">
      <c r="AA1612" s="456">
        <v>11002601</v>
      </c>
    </row>
    <row r="1613" spans="27:27" x14ac:dyDescent="0.2">
      <c r="AA1613" s="456">
        <v>11002605</v>
      </c>
    </row>
    <row r="1614" spans="27:27" x14ac:dyDescent="0.2">
      <c r="AA1614" s="456">
        <v>11012601</v>
      </c>
    </row>
    <row r="1615" spans="27:27" x14ac:dyDescent="0.2">
      <c r="AA1615" s="456">
        <v>11012601</v>
      </c>
    </row>
    <row r="1616" spans="27:27" x14ac:dyDescent="0.2">
      <c r="AA1616" s="456">
        <v>11012601</v>
      </c>
    </row>
    <row r="1617" spans="27:27" x14ac:dyDescent="0.2">
      <c r="AA1617" s="456">
        <v>11012605</v>
      </c>
    </row>
    <row r="1618" spans="27:27" x14ac:dyDescent="0.2">
      <c r="AA1618" s="456">
        <v>11012605</v>
      </c>
    </row>
    <row r="1619" spans="27:27" x14ac:dyDescent="0.2">
      <c r="AA1619" s="456">
        <v>11022601</v>
      </c>
    </row>
    <row r="1620" spans="27:27" x14ac:dyDescent="0.2">
      <c r="AA1620" s="456">
        <v>11022601</v>
      </c>
    </row>
    <row r="1621" spans="27:27" x14ac:dyDescent="0.2">
      <c r="AA1621" s="456">
        <v>11022605</v>
      </c>
    </row>
    <row r="1622" spans="27:27" x14ac:dyDescent="0.2">
      <c r="AA1622" s="456">
        <v>11022605</v>
      </c>
    </row>
    <row r="1623" spans="27:27" x14ac:dyDescent="0.2">
      <c r="AA1623" s="456">
        <v>11102601</v>
      </c>
    </row>
    <row r="1624" spans="27:27" x14ac:dyDescent="0.2">
      <c r="AA1624" s="456">
        <v>11102605</v>
      </c>
    </row>
    <row r="1625" spans="27:27" x14ac:dyDescent="0.2">
      <c r="AA1625" s="456">
        <v>11112601</v>
      </c>
    </row>
    <row r="1626" spans="27:27" x14ac:dyDescent="0.2">
      <c r="AA1626" s="456">
        <v>11112605</v>
      </c>
    </row>
    <row r="1627" spans="27:27" x14ac:dyDescent="0.2">
      <c r="AA1627" s="456">
        <v>11202601</v>
      </c>
    </row>
    <row r="1628" spans="27:27" x14ac:dyDescent="0.2">
      <c r="AA1628" s="456">
        <v>11202605</v>
      </c>
    </row>
    <row r="1629" spans="27:27" x14ac:dyDescent="0.2">
      <c r="AA1629" s="456">
        <v>11212601</v>
      </c>
    </row>
    <row r="1630" spans="27:27" x14ac:dyDescent="0.2">
      <c r="AA1630" s="456">
        <v>11212605</v>
      </c>
    </row>
    <row r="1631" spans="27:27" x14ac:dyDescent="0.2">
      <c r="AA1631" s="456">
        <v>12002601</v>
      </c>
    </row>
    <row r="1632" spans="27:27" x14ac:dyDescent="0.2">
      <c r="AA1632" s="456">
        <v>12002605</v>
      </c>
    </row>
    <row r="1633" spans="27:27" x14ac:dyDescent="0.2">
      <c r="AA1633" s="456">
        <v>12012601</v>
      </c>
    </row>
    <row r="1634" spans="27:27" x14ac:dyDescent="0.2">
      <c r="AA1634" s="456">
        <v>12012605</v>
      </c>
    </row>
    <row r="1635" spans="27:27" x14ac:dyDescent="0.2">
      <c r="AA1635" s="456">
        <v>12102601</v>
      </c>
    </row>
    <row r="1636" spans="27:27" x14ac:dyDescent="0.2">
      <c r="AA1636" s="456">
        <v>12102605</v>
      </c>
    </row>
    <row r="1637" spans="27:27" x14ac:dyDescent="0.2">
      <c r="AA1637" s="456">
        <v>12112601</v>
      </c>
    </row>
    <row r="1638" spans="27:27" x14ac:dyDescent="0.2">
      <c r="AA1638" s="456">
        <v>12112605</v>
      </c>
    </row>
    <row r="1639" spans="27:27" x14ac:dyDescent="0.2">
      <c r="AA1639" s="456">
        <v>12202601</v>
      </c>
    </row>
    <row r="1640" spans="27:27" x14ac:dyDescent="0.2">
      <c r="AA1640" s="456">
        <v>12202605</v>
      </c>
    </row>
    <row r="1641" spans="27:27" x14ac:dyDescent="0.2">
      <c r="AA1641" s="456">
        <v>12212601</v>
      </c>
    </row>
    <row r="1642" spans="27:27" x14ac:dyDescent="0.2">
      <c r="AA1642" s="456">
        <v>12212605</v>
      </c>
    </row>
    <row r="1643" spans="27:27" x14ac:dyDescent="0.2">
      <c r="AA1643" s="456">
        <v>21002601</v>
      </c>
    </row>
    <row r="1644" spans="27:27" x14ac:dyDescent="0.2">
      <c r="AA1644" s="456">
        <v>21002605</v>
      </c>
    </row>
    <row r="1645" spans="27:27" x14ac:dyDescent="0.2">
      <c r="AA1645" s="456">
        <v>21012601</v>
      </c>
    </row>
    <row r="1646" spans="27:27" x14ac:dyDescent="0.2">
      <c r="AA1646" s="456">
        <v>21012605</v>
      </c>
    </row>
    <row r="1647" spans="27:27" x14ac:dyDescent="0.2">
      <c r="AA1647" s="456">
        <v>21012605</v>
      </c>
    </row>
    <row r="1648" spans="27:27" x14ac:dyDescent="0.2">
      <c r="AA1648" s="456">
        <v>21022601</v>
      </c>
    </row>
    <row r="1649" spans="27:27" x14ac:dyDescent="0.2">
      <c r="AA1649" s="456">
        <v>21022601</v>
      </c>
    </row>
    <row r="1650" spans="27:27" x14ac:dyDescent="0.2">
      <c r="AA1650" s="456">
        <v>21022605</v>
      </c>
    </row>
    <row r="1651" spans="27:27" x14ac:dyDescent="0.2">
      <c r="AA1651" s="456">
        <v>21022605</v>
      </c>
    </row>
    <row r="1652" spans="27:27" x14ac:dyDescent="0.2">
      <c r="AA1652" s="456">
        <v>21102601</v>
      </c>
    </row>
    <row r="1653" spans="27:27" x14ac:dyDescent="0.2">
      <c r="AA1653" s="456">
        <v>21102605</v>
      </c>
    </row>
    <row r="1654" spans="27:27" x14ac:dyDescent="0.2">
      <c r="AA1654" s="456">
        <v>21112601</v>
      </c>
    </row>
    <row r="1655" spans="27:27" x14ac:dyDescent="0.2">
      <c r="AA1655" s="456">
        <v>21112605</v>
      </c>
    </row>
    <row r="1656" spans="27:27" x14ac:dyDescent="0.2">
      <c r="AA1656" s="456">
        <v>21202601</v>
      </c>
    </row>
    <row r="1657" spans="27:27" x14ac:dyDescent="0.2">
      <c r="AA1657" s="456">
        <v>21202605</v>
      </c>
    </row>
    <row r="1658" spans="27:27" x14ac:dyDescent="0.2">
      <c r="AA1658" s="456">
        <v>21212601</v>
      </c>
    </row>
    <row r="1659" spans="27:27" x14ac:dyDescent="0.2">
      <c r="AA1659" s="456">
        <v>21212605</v>
      </c>
    </row>
    <row r="1660" spans="27:27" x14ac:dyDescent="0.2">
      <c r="AA1660" s="456">
        <v>22002601</v>
      </c>
    </row>
    <row r="1661" spans="27:27" x14ac:dyDescent="0.2">
      <c r="AA1661" s="456">
        <v>22002605</v>
      </c>
    </row>
    <row r="1662" spans="27:27" x14ac:dyDescent="0.2">
      <c r="AA1662" s="456">
        <v>22012601</v>
      </c>
    </row>
    <row r="1663" spans="27:27" x14ac:dyDescent="0.2">
      <c r="AA1663" s="456">
        <v>22012605</v>
      </c>
    </row>
    <row r="1664" spans="27:27" x14ac:dyDescent="0.2">
      <c r="AA1664" s="456">
        <v>22102601</v>
      </c>
    </row>
    <row r="1665" spans="27:27" x14ac:dyDescent="0.2">
      <c r="AA1665" s="456">
        <v>22102605</v>
      </c>
    </row>
    <row r="1666" spans="27:27" x14ac:dyDescent="0.2">
      <c r="AA1666" s="456">
        <v>22112601</v>
      </c>
    </row>
    <row r="1667" spans="27:27" x14ac:dyDescent="0.2">
      <c r="AA1667" s="456">
        <v>22112605</v>
      </c>
    </row>
    <row r="1668" spans="27:27" x14ac:dyDescent="0.2">
      <c r="AA1668" s="456">
        <v>22202601</v>
      </c>
    </row>
    <row r="1669" spans="27:27" x14ac:dyDescent="0.2">
      <c r="AA1669" s="456">
        <v>22202605</v>
      </c>
    </row>
    <row r="1670" spans="27:27" x14ac:dyDescent="0.2">
      <c r="AA1670" s="456">
        <v>22212601</v>
      </c>
    </row>
    <row r="1671" spans="27:27" x14ac:dyDescent="0.2">
      <c r="AA1671" s="456">
        <v>22212605</v>
      </c>
    </row>
    <row r="1672" spans="27:27" x14ac:dyDescent="0.2">
      <c r="AA1672" s="456">
        <v>50002601</v>
      </c>
    </row>
    <row r="1673" spans="27:27" x14ac:dyDescent="0.2">
      <c r="AA1673" s="456">
        <v>50002605</v>
      </c>
    </row>
    <row r="1674" spans="27:27" x14ac:dyDescent="0.2">
      <c r="AA1674" s="456">
        <v>11003601</v>
      </c>
    </row>
    <row r="1675" spans="27:27" x14ac:dyDescent="0.2">
      <c r="AA1675" s="456">
        <v>11003605</v>
      </c>
    </row>
    <row r="1676" spans="27:27" x14ac:dyDescent="0.2">
      <c r="AA1676" s="456">
        <v>11013601</v>
      </c>
    </row>
    <row r="1677" spans="27:27" x14ac:dyDescent="0.2">
      <c r="AA1677" s="456">
        <v>11013601</v>
      </c>
    </row>
    <row r="1678" spans="27:27" x14ac:dyDescent="0.2">
      <c r="AA1678" s="456">
        <v>11013601</v>
      </c>
    </row>
    <row r="1679" spans="27:27" x14ac:dyDescent="0.2">
      <c r="AA1679" s="456">
        <v>11013605</v>
      </c>
    </row>
    <row r="1680" spans="27:27" x14ac:dyDescent="0.2">
      <c r="AA1680" s="456">
        <v>11013605</v>
      </c>
    </row>
    <row r="1681" spans="27:27" x14ac:dyDescent="0.2">
      <c r="AA1681" s="456">
        <v>11023601</v>
      </c>
    </row>
    <row r="1682" spans="27:27" x14ac:dyDescent="0.2">
      <c r="AA1682" s="456">
        <v>11023601</v>
      </c>
    </row>
    <row r="1683" spans="27:27" x14ac:dyDescent="0.2">
      <c r="AA1683" s="456">
        <v>11023605</v>
      </c>
    </row>
    <row r="1684" spans="27:27" x14ac:dyDescent="0.2">
      <c r="AA1684" s="456">
        <v>11023605</v>
      </c>
    </row>
    <row r="1685" spans="27:27" x14ac:dyDescent="0.2">
      <c r="AA1685" s="456">
        <v>11103601</v>
      </c>
    </row>
    <row r="1686" spans="27:27" x14ac:dyDescent="0.2">
      <c r="AA1686" s="456">
        <v>11103605</v>
      </c>
    </row>
    <row r="1687" spans="27:27" x14ac:dyDescent="0.2">
      <c r="AA1687" s="456">
        <v>11113601</v>
      </c>
    </row>
    <row r="1688" spans="27:27" x14ac:dyDescent="0.2">
      <c r="AA1688" s="456">
        <v>11113605</v>
      </c>
    </row>
    <row r="1689" spans="27:27" x14ac:dyDescent="0.2">
      <c r="AA1689" s="456">
        <v>11203601</v>
      </c>
    </row>
    <row r="1690" spans="27:27" x14ac:dyDescent="0.2">
      <c r="AA1690" s="456">
        <v>11203605</v>
      </c>
    </row>
    <row r="1691" spans="27:27" x14ac:dyDescent="0.2">
      <c r="AA1691" s="456">
        <v>11213601</v>
      </c>
    </row>
    <row r="1692" spans="27:27" x14ac:dyDescent="0.2">
      <c r="AA1692" s="456">
        <v>11213605</v>
      </c>
    </row>
    <row r="1693" spans="27:27" x14ac:dyDescent="0.2">
      <c r="AA1693" s="456">
        <v>12003601</v>
      </c>
    </row>
    <row r="1694" spans="27:27" x14ac:dyDescent="0.2">
      <c r="AA1694" s="456">
        <v>12003605</v>
      </c>
    </row>
    <row r="1695" spans="27:27" x14ac:dyDescent="0.2">
      <c r="AA1695" s="456">
        <v>12013601</v>
      </c>
    </row>
    <row r="1696" spans="27:27" x14ac:dyDescent="0.2">
      <c r="AA1696" s="456">
        <v>12013605</v>
      </c>
    </row>
    <row r="1697" spans="27:27" x14ac:dyDescent="0.2">
      <c r="AA1697" s="456">
        <v>12103601</v>
      </c>
    </row>
    <row r="1698" spans="27:27" x14ac:dyDescent="0.2">
      <c r="AA1698" s="456">
        <v>12103605</v>
      </c>
    </row>
    <row r="1699" spans="27:27" x14ac:dyDescent="0.2">
      <c r="AA1699" s="456">
        <v>12113601</v>
      </c>
    </row>
    <row r="1700" spans="27:27" x14ac:dyDescent="0.2">
      <c r="AA1700" s="456">
        <v>12113605</v>
      </c>
    </row>
    <row r="1701" spans="27:27" x14ac:dyDescent="0.2">
      <c r="AA1701" s="456">
        <v>12203601</v>
      </c>
    </row>
    <row r="1702" spans="27:27" x14ac:dyDescent="0.2">
      <c r="AA1702" s="456">
        <v>12203605</v>
      </c>
    </row>
    <row r="1703" spans="27:27" x14ac:dyDescent="0.2">
      <c r="AA1703" s="456">
        <v>12213601</v>
      </c>
    </row>
    <row r="1704" spans="27:27" x14ac:dyDescent="0.2">
      <c r="AA1704" s="456">
        <v>12213605</v>
      </c>
    </row>
    <row r="1705" spans="27:27" x14ac:dyDescent="0.2">
      <c r="AA1705" s="456">
        <v>21003601</v>
      </c>
    </row>
    <row r="1706" spans="27:27" x14ac:dyDescent="0.2">
      <c r="AA1706" s="456">
        <v>21003605</v>
      </c>
    </row>
    <row r="1707" spans="27:27" x14ac:dyDescent="0.2">
      <c r="AA1707" s="456">
        <v>21013601</v>
      </c>
    </row>
    <row r="1708" spans="27:27" x14ac:dyDescent="0.2">
      <c r="AA1708" s="456">
        <v>21013605</v>
      </c>
    </row>
    <row r="1709" spans="27:27" x14ac:dyDescent="0.2">
      <c r="AA1709" s="456">
        <v>21013605</v>
      </c>
    </row>
    <row r="1710" spans="27:27" x14ac:dyDescent="0.2">
      <c r="AA1710" s="456">
        <v>21023601</v>
      </c>
    </row>
    <row r="1711" spans="27:27" x14ac:dyDescent="0.2">
      <c r="AA1711" s="456">
        <v>21023601</v>
      </c>
    </row>
    <row r="1712" spans="27:27" x14ac:dyDescent="0.2">
      <c r="AA1712" s="456">
        <v>21023605</v>
      </c>
    </row>
    <row r="1713" spans="27:27" x14ac:dyDescent="0.2">
      <c r="AA1713" s="456">
        <v>21023605</v>
      </c>
    </row>
    <row r="1714" spans="27:27" x14ac:dyDescent="0.2">
      <c r="AA1714" s="456">
        <v>21103601</v>
      </c>
    </row>
    <row r="1715" spans="27:27" x14ac:dyDescent="0.2">
      <c r="AA1715" s="456">
        <v>21103605</v>
      </c>
    </row>
    <row r="1716" spans="27:27" x14ac:dyDescent="0.2">
      <c r="AA1716" s="456">
        <v>21113601</v>
      </c>
    </row>
    <row r="1717" spans="27:27" x14ac:dyDescent="0.2">
      <c r="AA1717" s="456">
        <v>21113605</v>
      </c>
    </row>
    <row r="1718" spans="27:27" x14ac:dyDescent="0.2">
      <c r="AA1718" s="456">
        <v>21203601</v>
      </c>
    </row>
    <row r="1719" spans="27:27" x14ac:dyDescent="0.2">
      <c r="AA1719" s="456">
        <v>21203605</v>
      </c>
    </row>
    <row r="1720" spans="27:27" x14ac:dyDescent="0.2">
      <c r="AA1720" s="456">
        <v>21213601</v>
      </c>
    </row>
    <row r="1721" spans="27:27" x14ac:dyDescent="0.2">
      <c r="AA1721" s="456">
        <v>21213605</v>
      </c>
    </row>
    <row r="1722" spans="27:27" x14ac:dyDescent="0.2">
      <c r="AA1722" s="456">
        <v>22003601</v>
      </c>
    </row>
    <row r="1723" spans="27:27" x14ac:dyDescent="0.2">
      <c r="AA1723" s="456">
        <v>22003605</v>
      </c>
    </row>
    <row r="1724" spans="27:27" x14ac:dyDescent="0.2">
      <c r="AA1724" s="456">
        <v>22013601</v>
      </c>
    </row>
    <row r="1725" spans="27:27" x14ac:dyDescent="0.2">
      <c r="AA1725" s="456">
        <v>22013605</v>
      </c>
    </row>
    <row r="1726" spans="27:27" x14ac:dyDescent="0.2">
      <c r="AA1726" s="456">
        <v>22103601</v>
      </c>
    </row>
    <row r="1727" spans="27:27" x14ac:dyDescent="0.2">
      <c r="AA1727" s="456">
        <v>22103605</v>
      </c>
    </row>
    <row r="1728" spans="27:27" x14ac:dyDescent="0.2">
      <c r="AA1728" s="456">
        <v>22113601</v>
      </c>
    </row>
    <row r="1729" spans="27:27" x14ac:dyDescent="0.2">
      <c r="AA1729" s="456">
        <v>22113605</v>
      </c>
    </row>
    <row r="1730" spans="27:27" x14ac:dyDescent="0.2">
      <c r="AA1730" s="456">
        <v>22203601</v>
      </c>
    </row>
    <row r="1731" spans="27:27" x14ac:dyDescent="0.2">
      <c r="AA1731" s="456">
        <v>22203605</v>
      </c>
    </row>
    <row r="1732" spans="27:27" x14ac:dyDescent="0.2">
      <c r="AA1732" s="456">
        <v>22213601</v>
      </c>
    </row>
    <row r="1733" spans="27:27" x14ac:dyDescent="0.2">
      <c r="AA1733" s="456">
        <v>22213605</v>
      </c>
    </row>
    <row r="1734" spans="27:27" x14ac:dyDescent="0.2">
      <c r="AA1734" s="456">
        <v>50003601</v>
      </c>
    </row>
    <row r="1735" spans="27:27" x14ac:dyDescent="0.2">
      <c r="AA1735" s="456">
        <v>50003605</v>
      </c>
    </row>
  </sheetData>
  <sheetProtection algorithmName="SHA-512" hashValue="hOopiGLOaBt67KQwl/fbkeLIspcUaxarT/qloRVlvIwj40rot8ZDadR4Woev+jd1bzVByKvDhDs6U0Bdkr4PAg==" saltValue="B+r6hmzwr57w/AVClUSU/Q==" spinCount="100000" sheet="1" objects="1" scenarios="1"/>
  <sortState xmlns:xlrd2="http://schemas.microsoft.com/office/spreadsheetml/2017/richdata2" ref="AA2:AA1363">
    <sortCondition ref="AA2:AA1363"/>
  </sortState>
  <mergeCells count="3">
    <mergeCell ref="E48:N48"/>
    <mergeCell ref="E67:N67"/>
    <mergeCell ref="E76:N76"/>
  </mergeCells>
  <phoneticPr fontId="7" type="noConversion"/>
  <pageMargins left="0.7" right="0.7" top="0.78740157499999996" bottom="0.78740157499999996" header="0.3" footer="0.3"/>
  <pageSetup paperSize="9" orientation="portrait" r:id="rId1"/>
  <headerFooter alignWithMargins="0"/>
  <customProperties>
    <customPr name="SSCSheetTrackingNo" r:id="rId2"/>
  </customProperties>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AT61"/>
  <sheetViews>
    <sheetView zoomScaleNormal="100" workbookViewId="0">
      <selection activeCell="G12" sqref="G12"/>
    </sheetView>
  </sheetViews>
  <sheetFormatPr baseColWidth="10" defaultColWidth="11.44140625" defaultRowHeight="15" customHeight="1" x14ac:dyDescent="0.25"/>
  <cols>
    <col min="1" max="1" width="7" style="17" customWidth="1"/>
    <col min="2" max="2" width="10.5546875" style="17" customWidth="1"/>
    <col min="3" max="12" width="7.5546875" style="1" customWidth="1"/>
    <col min="13" max="25" width="6.5546875" style="1" customWidth="1"/>
    <col min="26" max="29" width="7.33203125" style="1" customWidth="1"/>
    <col min="30" max="47" width="6.5546875" style="1" customWidth="1"/>
    <col min="48" max="16384" width="11.44140625" style="1"/>
  </cols>
  <sheetData>
    <row r="1" spans="1:46" ht="18" customHeight="1" x14ac:dyDescent="0.25">
      <c r="A1" s="62" t="s">
        <v>102</v>
      </c>
    </row>
    <row r="2" spans="1:46" ht="15" customHeight="1" x14ac:dyDescent="0.25">
      <c r="Q2" s="70">
        <f>VLOOKUP(9,V5:AE13,V4-2018)</f>
        <v>136080</v>
      </c>
      <c r="R2" s="70">
        <f>Q2+Q6</f>
        <v>162540</v>
      </c>
    </row>
    <row r="3" spans="1:46" s="18" customFormat="1" ht="15" customHeight="1" x14ac:dyDescent="0.25">
      <c r="B3" s="18">
        <v>1</v>
      </c>
      <c r="C3" s="18">
        <v>2</v>
      </c>
      <c r="D3" s="18">
        <v>3</v>
      </c>
      <c r="E3" s="18">
        <v>4</v>
      </c>
      <c r="F3" s="18">
        <v>5</v>
      </c>
      <c r="G3" s="18">
        <v>6</v>
      </c>
      <c r="H3" s="18">
        <v>7</v>
      </c>
      <c r="I3" s="18">
        <v>8</v>
      </c>
      <c r="J3" s="18">
        <v>9</v>
      </c>
      <c r="K3" s="18">
        <v>10</v>
      </c>
      <c r="L3" s="18">
        <v>11</v>
      </c>
      <c r="M3" s="18">
        <v>12</v>
      </c>
      <c r="N3" s="18">
        <v>13</v>
      </c>
      <c r="O3" s="18">
        <v>14</v>
      </c>
      <c r="P3" s="18">
        <v>15</v>
      </c>
      <c r="Q3" s="70">
        <f>VLOOKUP(2,V5:AE13,V4-2018)</f>
        <v>3780</v>
      </c>
      <c r="R3" s="70">
        <f>Q3*P14</f>
        <v>2268</v>
      </c>
      <c r="V3" s="18">
        <v>1</v>
      </c>
      <c r="W3" s="18">
        <v>2</v>
      </c>
      <c r="X3" s="18">
        <v>3</v>
      </c>
      <c r="Y3" s="18">
        <v>4</v>
      </c>
      <c r="Z3" s="18">
        <v>5</v>
      </c>
      <c r="AA3" s="18">
        <v>6</v>
      </c>
      <c r="AB3" s="18">
        <v>7</v>
      </c>
      <c r="AC3" s="18">
        <v>8</v>
      </c>
      <c r="AD3" s="18">
        <v>9</v>
      </c>
      <c r="AE3" s="18">
        <v>10</v>
      </c>
    </row>
    <row r="4" spans="1:46" s="25" customFormat="1" ht="15" customHeight="1" x14ac:dyDescent="0.25">
      <c r="A4" s="24" t="s">
        <v>559</v>
      </c>
      <c r="B4" s="71">
        <f>Input!E18</f>
        <v>0</v>
      </c>
      <c r="C4" s="26">
        <v>0</v>
      </c>
      <c r="D4" s="26">
        <v>0</v>
      </c>
      <c r="E4" s="26">
        <v>0</v>
      </c>
      <c r="F4" s="26">
        <v>0</v>
      </c>
      <c r="G4" s="26">
        <v>0</v>
      </c>
      <c r="H4" s="26">
        <v>0</v>
      </c>
      <c r="I4" s="26">
        <v>0</v>
      </c>
      <c r="J4" s="26">
        <f>Q5</f>
        <v>22680</v>
      </c>
      <c r="K4" s="26">
        <f>Q5</f>
        <v>22680</v>
      </c>
      <c r="L4" s="26">
        <f>Q5</f>
        <v>22680</v>
      </c>
      <c r="M4" s="26">
        <f>Q5</f>
        <v>22680</v>
      </c>
      <c r="N4" s="26">
        <f>Q5</f>
        <v>22680</v>
      </c>
      <c r="O4" s="26">
        <f>Q5</f>
        <v>22680</v>
      </c>
      <c r="P4" s="26">
        <f>Q5</f>
        <v>22680</v>
      </c>
      <c r="Q4" s="70">
        <f>VLOOKUP(4,V5:AE13,V4-2018)</f>
        <v>8820</v>
      </c>
      <c r="R4" s="349"/>
      <c r="S4" s="12"/>
      <c r="T4" s="12"/>
      <c r="U4" s="12"/>
      <c r="V4" s="652">
        <f>Input!K1+2014</f>
        <v>2026</v>
      </c>
      <c r="W4" s="7">
        <v>2020</v>
      </c>
      <c r="X4" s="7">
        <v>2021</v>
      </c>
      <c r="Y4" s="7">
        <v>2022</v>
      </c>
      <c r="Z4" s="7">
        <v>2023</v>
      </c>
      <c r="AA4" s="25">
        <v>2024</v>
      </c>
      <c r="AB4" s="7">
        <v>2025</v>
      </c>
      <c r="AC4" s="7">
        <v>2026</v>
      </c>
      <c r="AD4" s="7">
        <v>2027</v>
      </c>
      <c r="AE4" s="25">
        <v>2028</v>
      </c>
    </row>
    <row r="5" spans="1:46" s="25" customFormat="1" ht="15" customHeight="1" x14ac:dyDescent="0.25">
      <c r="A5" s="25" t="s">
        <v>560</v>
      </c>
      <c r="B5" s="645">
        <f>P14</f>
        <v>0.6</v>
      </c>
      <c r="C5" s="26">
        <f>Q7</f>
        <v>64260</v>
      </c>
      <c r="D5" s="26">
        <f>Q9</f>
        <v>148200</v>
      </c>
      <c r="E5" s="26" t="s">
        <v>98</v>
      </c>
      <c r="F5" s="26">
        <f>Q2</f>
        <v>136080</v>
      </c>
      <c r="G5" s="26">
        <f>Q8</f>
        <v>90720</v>
      </c>
      <c r="H5" s="26">
        <f>F5-Q6</f>
        <v>109620</v>
      </c>
      <c r="I5" s="26">
        <f>Q9*2</f>
        <v>296400</v>
      </c>
      <c r="J5" s="26">
        <f>Q7</f>
        <v>64260</v>
      </c>
      <c r="K5" s="26">
        <f>Q9</f>
        <v>148200</v>
      </c>
      <c r="L5" s="26" t="s">
        <v>98</v>
      </c>
      <c r="M5" s="26">
        <f>Q2</f>
        <v>136080</v>
      </c>
      <c r="N5" s="26">
        <f>Q8</f>
        <v>90720</v>
      </c>
      <c r="O5" s="26">
        <f>Q2-Q6</f>
        <v>109620</v>
      </c>
      <c r="P5" s="26">
        <f>Q9*2</f>
        <v>296400</v>
      </c>
      <c r="Q5" s="70">
        <f>VLOOKUP(1,V5:AE13,V4-2018)</f>
        <v>22680</v>
      </c>
      <c r="R5" s="349">
        <f>Q5*P14</f>
        <v>13608</v>
      </c>
      <c r="S5" s="68" t="s">
        <v>117</v>
      </c>
      <c r="T5" s="67"/>
      <c r="U5" s="12"/>
      <c r="V5" s="12">
        <v>1</v>
      </c>
      <c r="W5" s="69">
        <v>21330</v>
      </c>
      <c r="X5" s="69">
        <v>21510</v>
      </c>
      <c r="Y5" s="69">
        <v>21510</v>
      </c>
      <c r="Z5" s="69">
        <v>22050</v>
      </c>
      <c r="AA5" s="69">
        <v>22050</v>
      </c>
      <c r="AB5" s="69">
        <v>22680</v>
      </c>
      <c r="AC5" s="69">
        <v>22680</v>
      </c>
      <c r="AD5" s="69"/>
      <c r="AE5" s="69"/>
    </row>
    <row r="6" spans="1:46" ht="15" customHeight="1" x14ac:dyDescent="0.25">
      <c r="A6" s="2" t="s">
        <v>25</v>
      </c>
      <c r="B6" s="5">
        <v>1</v>
      </c>
      <c r="C6" s="85">
        <f>IF(B4&lt;0.05,0,IF((B4-Q6)&lt;Q3,Q3,IF(B4&gt;Q8,Q7,B4-Q6)))</f>
        <v>0</v>
      </c>
      <c r="D6" s="85">
        <f>IF(B4&lt;0.05,0,IF((B4-Q6)&lt;Q3,Q3,IF(B4&gt;Q10,Q9,B4-Q6)))</f>
        <v>0</v>
      </c>
      <c r="E6" s="85">
        <f>IF(B4&lt;0.05,0,IF((B4-Q6)&lt;Q3,Q3,IF(B4&gt;(Q11+Q6),Q11,B4-Q6)))</f>
        <v>0</v>
      </c>
      <c r="F6" s="85">
        <f>IF(B4&lt;0.05,0,IF((B4-Q6)&lt;Q3,Q3,IF(B4&gt;R2,Q2,B4-Q6)))</f>
        <v>0</v>
      </c>
      <c r="G6" s="85">
        <f>IF(B4&lt;0.05,0,IF((B4-Q6)&lt;Q3,Q3,IF(B4&gt;R8,Q8,B4-Q6)))</f>
        <v>0</v>
      </c>
      <c r="H6" s="665">
        <f>IF(B4&lt;0.05,0,IF((B4-Q6)&lt;Q3,Q3,IF(B4&gt;R2-Q6,Q2-Q6,B4-Q6)))</f>
        <v>0</v>
      </c>
      <c r="I6" s="665">
        <f>IF(B4&lt;0.05,0,IF((B4-Q6)&lt;Q3,Q3,IF(B4&gt;2*Q9+Q6,Q9*2,B4-Q6)))</f>
        <v>0</v>
      </c>
      <c r="J6" s="85">
        <f>IF(B4&lt;Q5,0,IF((B4-Q6)&lt;Q3,Q3,IF(B4&gt;Q8,Q7,B4-Q6)))</f>
        <v>0</v>
      </c>
      <c r="K6" s="85">
        <f>IF(B4&lt;Q5,0,IF((B4-Q6)&lt;Q3,Q3,IF(B4&gt;Q10,Q9,B4-Q6)))</f>
        <v>0</v>
      </c>
      <c r="L6" s="85">
        <f>IF(B4&lt;Q5,0,IF((B4-Q6)&lt;Q3,Q3,IF(B4&gt;(Q11+Q6),Q11,B4-Q6)))</f>
        <v>0</v>
      </c>
      <c r="M6" s="85">
        <f>IF(B4&lt;Q5,0,IF((B4-Q6)&lt;Q3,Q3,IF(B4&gt;R2,Q2,B4-Q6)))</f>
        <v>0</v>
      </c>
      <c r="N6" s="85">
        <f>IF(B4&lt;Q5,0,IF((B4-Q6)&lt;Q3,Q3,IF(B4&gt;R8,Q8,B4-Q6)))</f>
        <v>0</v>
      </c>
      <c r="O6" s="665">
        <f>IF(B4&lt;Q5,0,IF((B4-Q6)&lt;Q3,Q3,IF(B4&gt;Q2,Q2-Q6,B4-Q6)))</f>
        <v>0</v>
      </c>
      <c r="P6" s="665">
        <f>IF(B4&lt;Q5,0,IF((B4-Q6)&lt;Q3,Q3,IF(B4&gt;2*Q9+Q6,Q9*2,B4-Q6)))</f>
        <v>0</v>
      </c>
      <c r="Q6" s="70">
        <f>VLOOKUP(3,V5:AE13,V4-2018)</f>
        <v>26460</v>
      </c>
      <c r="R6" s="349"/>
      <c r="S6" s="68" t="s">
        <v>118</v>
      </c>
      <c r="T6" s="67"/>
      <c r="U6" s="21"/>
      <c r="V6" s="12">
        <v>2</v>
      </c>
      <c r="W6" s="69">
        <v>3555</v>
      </c>
      <c r="X6" s="69">
        <v>3585</v>
      </c>
      <c r="Y6" s="69">
        <v>3585</v>
      </c>
      <c r="Z6" s="69">
        <v>3675</v>
      </c>
      <c r="AA6" s="69">
        <v>3675</v>
      </c>
      <c r="AB6" s="69">
        <v>3780</v>
      </c>
      <c r="AC6" s="69">
        <v>3780</v>
      </c>
      <c r="AD6" s="69"/>
      <c r="AE6" s="69"/>
    </row>
    <row r="7" spans="1:46" ht="15" customHeight="1" x14ac:dyDescent="0.25">
      <c r="A7" s="2" t="s">
        <v>26</v>
      </c>
      <c r="B7" s="6">
        <v>2</v>
      </c>
      <c r="C7" s="85">
        <f>IF((B4-Q14)&lt;Q3,Q3,IF((B4-Q14)&gt;Q7,Q7,B4-Q14))</f>
        <v>3780</v>
      </c>
      <c r="D7" s="85">
        <f>IF((B4-Q14)&lt;Q3,Q3,IF(B4&gt;(Q9+Q14),Q9,B4-Q14))</f>
        <v>3780</v>
      </c>
      <c r="E7" s="85">
        <f>IF((B4-Q14)&lt;Q3,Q3,IF(B4&gt;(Q11+Q14),Q11,B4-Q14))</f>
        <v>3780</v>
      </c>
      <c r="F7" s="85">
        <f>IF((B4-Q14)&lt;Q3,Q3,IF(B4&gt;(Q2+Q14),Q2,B4-Q14))</f>
        <v>3780</v>
      </c>
      <c r="G7" s="85">
        <f>IF((B4-Q14)&lt;Q3,Q3,IF(B4&gt;(Q8+Q14),Q8,B4-Q14))</f>
        <v>3780</v>
      </c>
      <c r="H7" s="665">
        <f>IF((B4-Q14)&lt;Q3,Q3,IF(B4-Q14&gt;(Q2-Q6),Q2-Q6,B4-Q14))</f>
        <v>3780</v>
      </c>
      <c r="I7" s="665">
        <f>IF((B4-Q14)&lt;Q3,Q3,IF(B4&gt;(2*Q9+Q14),Q9*2,B4-Q14))</f>
        <v>3780</v>
      </c>
      <c r="J7" s="85">
        <f>IF(B4&lt;Q5,0,IF((B4-Q14)&lt;Q3,Q3,IF((B4-Q14)&gt;Q7,Q7,B4-Q14)))</f>
        <v>0</v>
      </c>
      <c r="K7" s="85">
        <f>IF(B4&lt;Q5,0,IF((B4-Q14)&lt;Q3,Q3,IF(B4&gt;(Q9+Q14),Q9,B4-Q14)))</f>
        <v>0</v>
      </c>
      <c r="L7" s="85">
        <f>IF(B4&lt;Q5,0,IF((B4-Q14)&lt;Q3,Q3,IF(B4&gt;(Q11+Q14),Q11,B4-Q14)))</f>
        <v>0</v>
      </c>
      <c r="M7" s="85">
        <f>IF(B4&lt;Q5,0,IF((B4-Q14)&lt;Q3,Q3,IF(B4&gt;(Q2+Q14),Q2,B4-Q14)))</f>
        <v>0</v>
      </c>
      <c r="N7" s="85">
        <f>IF(B4&lt;Q5,0,IF((B4-Q14)&lt;Q3,Q3,IF(B4&gt;(Q8+Q14),Q8,B4-Q14)))</f>
        <v>0</v>
      </c>
      <c r="O7" s="665">
        <f>IF(B4&lt;Q5,0,IF((B4-Q14)&lt;Q3,Q3,IF(B4-Q14&gt;(Q2-Q6),Q2-Q6,B4-Q14)))</f>
        <v>0</v>
      </c>
      <c r="P7" s="665">
        <f>IF(B4&lt;Q5,0,IF((B4-Q14)&lt;Q3,Q3,IF(B4&gt;(Q9*2+Q14),Q9*2,B4-Q14)))</f>
        <v>0</v>
      </c>
      <c r="Q7" s="70">
        <f>VLOOKUP(6,V5:AE13,V4-2018)</f>
        <v>64260</v>
      </c>
      <c r="R7" s="349"/>
      <c r="S7" s="68" t="s">
        <v>119</v>
      </c>
      <c r="T7" s="67"/>
      <c r="U7" s="21"/>
      <c r="V7" s="12">
        <v>3</v>
      </c>
      <c r="W7" s="69">
        <v>24885</v>
      </c>
      <c r="X7" s="69">
        <v>25095</v>
      </c>
      <c r="Y7" s="69">
        <v>25095</v>
      </c>
      <c r="Z7" s="69">
        <v>25725</v>
      </c>
      <c r="AA7" s="69">
        <v>25725</v>
      </c>
      <c r="AB7" s="69">
        <v>26460</v>
      </c>
      <c r="AC7" s="69">
        <v>26460</v>
      </c>
      <c r="AD7" s="69"/>
      <c r="AE7" s="69"/>
    </row>
    <row r="8" spans="1:46" ht="15" customHeight="1" x14ac:dyDescent="0.25">
      <c r="A8" s="2" t="s">
        <v>27</v>
      </c>
      <c r="B8" s="6">
        <v>3</v>
      </c>
      <c r="C8" s="85">
        <f>IF((B4-Q13)&lt;Q3,Q3,IF((B4-Q13)&gt;Q7,Q7,B4-Q13))</f>
        <v>3780</v>
      </c>
      <c r="D8" s="85">
        <f>IF((B4-Q13)&lt;Q3,Q3,IF(B4&gt;(Q9+Q13),Q9,B4-Q13))</f>
        <v>3780</v>
      </c>
      <c r="E8" s="85">
        <f>IF((B4-Q13)&lt;Q3,Q3,IF(B4&gt;(Q11+Q13),Q11,B4-Q13))</f>
        <v>3780</v>
      </c>
      <c r="F8" s="85">
        <f>IF((B4-Q13)&lt;Q3,Q3,IF(B4&gt;(Q2+Q13),Q2,B4-Q13))</f>
        <v>3780</v>
      </c>
      <c r="G8" s="85">
        <f>IF((B4-Q13)&lt;Q3,Q3,IF(B4&gt;(Q8+Q13),Q8,B4-Q13))</f>
        <v>3780</v>
      </c>
      <c r="H8" s="665">
        <f>IF((B4-Q13)&lt;Q3,Q3,IF(B4&gt;(Q2),Q2-Q6,B4-Q13))</f>
        <v>3780</v>
      </c>
      <c r="I8" s="665">
        <f>IF((B4-Q13)&lt;Q3,Q3,IF(B4&gt;(2*Q9+Q13),Q9*2,B4-Q13))</f>
        <v>3780</v>
      </c>
      <c r="J8" s="85">
        <f>IF(B4&lt;Q5,0,IF((B4-Q13)&lt;Q3,Q3,IF(80%*B4&gt;Q7,Q7,B4-Q13)))</f>
        <v>0</v>
      </c>
      <c r="K8" s="85">
        <f>IF(B4&lt;Q5,0,IF((B4-Q13)&lt;Q3,Q3,IF(B4&gt;(Q9+Q13),Q9,B4-Q13)))</f>
        <v>0</v>
      </c>
      <c r="L8" s="85">
        <f>IF(B4&lt;Q5,0,IF((B4-Q13)&lt;Q3,Q3,IF(B4&gt;(Q11+Q13),Q11,B4-Q13)))</f>
        <v>0</v>
      </c>
      <c r="M8" s="85">
        <f>IF(B4&lt;Q5,0,IF((B4-Q13)&lt;Q3,Q3,IF(B4&gt;(Q2+Q13),Q2,B4-Q13)))</f>
        <v>0</v>
      </c>
      <c r="N8" s="85">
        <f>IF(B4&lt;Q5,0,IF((B4-Q13)&lt;Q3,Q3,IF(B4&gt;(Q8+Q13),Q8,B4-Q13)))</f>
        <v>0</v>
      </c>
      <c r="O8" s="665">
        <f>IF(B4&lt;Q5,0,IF((B4-Q13)&lt;Q3,Q3,IF(B4&gt;(Q2),Q2-Q13,B4-Q13)))</f>
        <v>0</v>
      </c>
      <c r="P8" s="665">
        <f>IF(B4&lt;Q5,0,IF((B4-Q13)&lt;Q3,Q3,IF(B4&gt;(Q9*2+Q13),Q9*2,B4-Q13)))</f>
        <v>0</v>
      </c>
      <c r="Q8" s="70">
        <f>VLOOKUP(5,V5:AE13,V4-2018)</f>
        <v>90720</v>
      </c>
      <c r="R8" s="70">
        <f>Q8+Q6</f>
        <v>117180</v>
      </c>
      <c r="S8" s="68" t="s">
        <v>120</v>
      </c>
      <c r="T8" s="67"/>
      <c r="U8" s="21"/>
      <c r="V8" s="12">
        <v>4</v>
      </c>
      <c r="W8" s="69">
        <v>8295</v>
      </c>
      <c r="X8" s="69">
        <f>X7/3</f>
        <v>8365</v>
      </c>
      <c r="Y8" s="69">
        <v>8365</v>
      </c>
      <c r="Z8" s="69">
        <v>8575</v>
      </c>
      <c r="AA8" s="69">
        <v>8575</v>
      </c>
      <c r="AB8" s="69">
        <v>8820</v>
      </c>
      <c r="AC8" s="69">
        <v>8820</v>
      </c>
      <c r="AD8" s="69"/>
      <c r="AE8" s="69"/>
    </row>
    <row r="9" spans="1:46" ht="15" customHeight="1" x14ac:dyDescent="0.25">
      <c r="A9" s="2" t="s">
        <v>28</v>
      </c>
      <c r="B9" s="6">
        <v>4</v>
      </c>
      <c r="C9" s="85">
        <f>IF(B4&lt;Q3,Q3,IF(B4&gt;Q7,Q7,B4))</f>
        <v>3780</v>
      </c>
      <c r="D9" s="85">
        <f>IF(B4&lt;Q3,Q3,IF(B4&gt;Q9,Q9,B4))</f>
        <v>3780</v>
      </c>
      <c r="E9" s="85">
        <f>IF(B4&lt;Q3,Q3,IF(B4&gt;Q11,Q11,B4))</f>
        <v>3780</v>
      </c>
      <c r="F9" s="85">
        <f>IF(B4&lt;Q3,Q3,IF(B4&gt;Q2,Q2,B4))</f>
        <v>3780</v>
      </c>
      <c r="G9" s="85">
        <f>IF(B4&lt;Q3,Q3,IF(B4&gt;Q8,Q8,B4))</f>
        <v>3780</v>
      </c>
      <c r="H9" s="665">
        <f>IF(B4&lt;Q3,Q3,IF(B4&gt;Q2-Q6,Q2-Q6,B4))</f>
        <v>3780</v>
      </c>
      <c r="I9" s="665">
        <f>IF(B4&lt;Q3,Q3,IF(B4&gt;Q9*2,Q9*2,B4))</f>
        <v>3780</v>
      </c>
      <c r="J9" s="85">
        <f>IF(B4&lt;Q5,0,IF((B4)&lt;Q3,Q3,IF(B4&gt;Q7,Q7,B4)))</f>
        <v>0</v>
      </c>
      <c r="K9" s="85">
        <f>IF(B4&lt;Q5,0,IF((B4)&lt;Q3,Q3,IF(B4&gt;Q9,Q9,B4)))</f>
        <v>0</v>
      </c>
      <c r="L9" s="85">
        <f>IF(B4&lt;Q5,0,IF(B4&lt;Q3,Q3,IF(B4&gt;Q11,Q11,B4)))</f>
        <v>0</v>
      </c>
      <c r="M9" s="85">
        <f>IF(B4&lt;Q5,0,IF((B4)&lt;Q3,Q3,IF(B4&gt;Q2,Q2,B4)))</f>
        <v>0</v>
      </c>
      <c r="N9" s="85">
        <f>IF(B4&lt;Q5,0,IF((B4)&lt;Q3,Q3,IF(B4&gt;Q8,Q8,B4)))</f>
        <v>0</v>
      </c>
      <c r="O9" s="665">
        <f>IF(B4&lt;Q5,0,IF((B4)&lt;Q3,Q3,IF(B4&gt;Q2-Q6,Q2-Q6,B4)))</f>
        <v>0</v>
      </c>
      <c r="P9" s="665">
        <f>IF(B4&lt;Q5,0,IF((B4)&lt;Q3,Q3,IF(B4&gt;Q9*2,Q9*2,B4)))</f>
        <v>0</v>
      </c>
      <c r="Q9" s="70">
        <f>VLOOKUP(8,V5:AE13,V4-2018)</f>
        <v>148200</v>
      </c>
      <c r="R9" s="349"/>
      <c r="S9" s="68" t="s">
        <v>121</v>
      </c>
      <c r="T9" s="67"/>
      <c r="U9" s="21"/>
      <c r="V9" s="12">
        <v>5</v>
      </c>
      <c r="W9" s="69">
        <v>85320</v>
      </c>
      <c r="X9" s="69">
        <v>86040</v>
      </c>
      <c r="Y9" s="69">
        <v>86040</v>
      </c>
      <c r="Z9" s="69">
        <v>88200</v>
      </c>
      <c r="AA9" s="69">
        <v>88200</v>
      </c>
      <c r="AB9" s="69">
        <v>90720</v>
      </c>
      <c r="AC9" s="69">
        <v>90720</v>
      </c>
      <c r="AD9" s="69"/>
      <c r="AE9" s="69"/>
    </row>
    <row r="10" spans="1:46" ht="15" customHeight="1" x14ac:dyDescent="0.25">
      <c r="A10" s="2" t="s">
        <v>282</v>
      </c>
      <c r="B10" s="6">
        <v>5</v>
      </c>
      <c r="C10" s="85">
        <f>IF(B4&lt;(Q6/2),0,IF(B4&gt;(Q11+Q6/2),Q11,IF((B4-Q6/2)&lt;Q3,Q3,B4-Q6/2)))</f>
        <v>0</v>
      </c>
      <c r="D10" s="85">
        <f>IF(B4&lt;(Q6/2),0,IF(B4&gt;(Q11+Q6/2),Q11,IF((B4-Q6/2)&lt;Q3,Q3,B4-Q6/2)))</f>
        <v>0</v>
      </c>
      <c r="E10" s="85">
        <f>IF(B4&lt;(Q6/2),0,IF(B4&gt;(Q11+Q6/2),Q11,IF((B4-Q6/2)&lt;Q3,Q3,B4-Q6/2)))</f>
        <v>0</v>
      </c>
      <c r="F10" s="85">
        <f>IF(B4&lt;(Q6/2),0,IF(B4&gt;(Q2+Q6/2),Q2,IF((B4-Q6/2)&lt;Q3,Q3,B4-Q6/2)))</f>
        <v>0</v>
      </c>
      <c r="G10" s="85">
        <f>IF(B4&lt;(Q6/2),0,IF(B4&gt;(Q8+Q6/2),Q8,IF((B4-Q6/2)&lt;Q3,Q3,B4-Q6/2)))</f>
        <v>0</v>
      </c>
      <c r="H10" s="665">
        <f>IF(B4&lt;(Q6/2),0,IF(B4&gt;(Q2-Q6),Q2-Q6,IF((B4-Q6/2)&lt;Q3,Q3,B4-Q6/2)))</f>
        <v>0</v>
      </c>
      <c r="I10" s="665">
        <f>IF(B4&lt;(Q6/2),0,IF(B4&gt;(2*Q9+Q6/2),2*Q9,IF((B4-Q6/2)&lt;Q3,Q3,B4-Q6/2)))</f>
        <v>0</v>
      </c>
      <c r="J10" s="85">
        <f>IF(B4&lt;(Q6/2),0,IF(B4&gt;(Q11+Q6/2),Q11,IF((B4-Q6/2)&lt;Q3,Q3,B4-Q6/2)))</f>
        <v>0</v>
      </c>
      <c r="K10" s="85">
        <f>IF(B4&lt;(Q6/2),0,IF(B4&gt;(Q11+Q6/2),Q11,IF((B4-Q6/2)&lt;Q3,Q3,B4-Q6/2)))</f>
        <v>0</v>
      </c>
      <c r="L10" s="85">
        <f>IF(B4&lt;(Q6/2),0,IF(B4&gt;(Q11+Q6/2),Q11,IF((B4-Q6/2)&lt;Q3,Q3,B4-Q6/2)))</f>
        <v>0</v>
      </c>
      <c r="M10" s="85">
        <f>IF(B4&lt;(Q6/2),0,IF(B4&gt;(Q2+Q6/2),Q2,IF((B4-Q6/2)&lt;Q3,Q3,B4-Q6/2)))</f>
        <v>0</v>
      </c>
      <c r="N10" s="85">
        <f>IF(B4&lt;(Q6/2),0,IF(B4&gt;(Q8+Q6/2),Q8,IF((B4-Q6/2)&lt;Q3,Q3,B4-Q6/2)))</f>
        <v>0</v>
      </c>
      <c r="O10" s="665">
        <f>IF(B4&lt;(Q6/2),0,IF(B4&gt;(Q2-Q6),Q2-Q6,IF((B4-Q6/2)&lt;Q3,Q3,B4-Q6/2)))</f>
        <v>0</v>
      </c>
      <c r="P10" s="665">
        <f>IF(B4&lt;(Q6/2),0,IF(B4&gt;(Q9*2+Q6/2),Q9*2,IF((B4-Q6/2)&lt;Q3,Q3,B4-Q6/2)))</f>
        <v>0</v>
      </c>
      <c r="Q10" s="70">
        <f>Q9+Q6</f>
        <v>174660</v>
      </c>
      <c r="R10" s="349"/>
      <c r="S10" s="68" t="s">
        <v>123</v>
      </c>
      <c r="T10" s="67"/>
      <c r="U10" s="21"/>
      <c r="V10" s="12">
        <v>6</v>
      </c>
      <c r="W10" s="69">
        <v>60435</v>
      </c>
      <c r="X10" s="69">
        <v>60945</v>
      </c>
      <c r="Y10" s="69">
        <v>60945</v>
      </c>
      <c r="Z10" s="69">
        <v>62475</v>
      </c>
      <c r="AA10" s="69">
        <v>62475</v>
      </c>
      <c r="AB10" s="69">
        <v>64260</v>
      </c>
      <c r="AC10" s="69">
        <v>64260</v>
      </c>
      <c r="AD10" s="69"/>
      <c r="AE10" s="69"/>
    </row>
    <row r="11" spans="1:46" ht="15" customHeight="1" x14ac:dyDescent="0.25">
      <c r="C11" s="84"/>
      <c r="L11" s="27"/>
      <c r="M11" s="27"/>
      <c r="N11" s="27"/>
      <c r="O11" s="27"/>
      <c r="P11" s="27"/>
      <c r="Q11" s="70">
        <f>VLOOKUP(7,V5:AE13,V4-2018)</f>
        <v>907200</v>
      </c>
      <c r="R11" s="349"/>
      <c r="S11" s="1" t="s">
        <v>124</v>
      </c>
      <c r="V11" s="12">
        <v>7</v>
      </c>
      <c r="W11" s="69">
        <v>853200</v>
      </c>
      <c r="X11" s="69">
        <v>860400</v>
      </c>
      <c r="Y11" s="69">
        <v>860400</v>
      </c>
      <c r="Z11" s="69">
        <v>882000</v>
      </c>
      <c r="AA11" s="69">
        <v>882000</v>
      </c>
      <c r="AB11" s="69">
        <v>907200</v>
      </c>
      <c r="AC11" s="69">
        <v>907200</v>
      </c>
      <c r="AD11" s="69"/>
      <c r="AE11" s="69"/>
    </row>
    <row r="12" spans="1:46" ht="15" customHeight="1" x14ac:dyDescent="0.25">
      <c r="B12" s="6"/>
      <c r="C12" s="83"/>
      <c r="D12" s="27"/>
      <c r="J12" s="27"/>
      <c r="K12" s="27"/>
      <c r="Q12" s="72">
        <f>B4*20%</f>
        <v>0</v>
      </c>
      <c r="R12" s="349"/>
      <c r="S12" s="1" t="s">
        <v>122</v>
      </c>
      <c r="V12" s="12">
        <v>8</v>
      </c>
      <c r="W12" s="69">
        <v>148200</v>
      </c>
      <c r="X12" s="69">
        <v>148200</v>
      </c>
      <c r="Y12" s="69">
        <v>148200</v>
      </c>
      <c r="Z12" s="69">
        <v>148200</v>
      </c>
      <c r="AA12" s="69">
        <v>148200</v>
      </c>
      <c r="AB12" s="69">
        <v>148200</v>
      </c>
      <c r="AC12" s="69">
        <v>148200</v>
      </c>
      <c r="AD12" s="69"/>
      <c r="AE12" s="69"/>
    </row>
    <row r="13" spans="1:46" ht="15" customHeight="1" x14ac:dyDescent="0.25">
      <c r="B13" s="6"/>
      <c r="C13" s="83"/>
      <c r="D13" s="27"/>
      <c r="E13" s="27"/>
      <c r="F13" s="27"/>
      <c r="G13" s="27"/>
      <c r="H13" s="27"/>
      <c r="I13" s="27"/>
      <c r="J13" s="27"/>
      <c r="K13" s="27"/>
      <c r="L13" s="27"/>
      <c r="M13" s="27"/>
      <c r="N13" s="27"/>
      <c r="O13" s="27"/>
      <c r="P13" s="27"/>
      <c r="Q13" s="73">
        <f>IF(Q12&gt;Q6,Q6,Q12)</f>
        <v>0</v>
      </c>
      <c r="R13" s="349"/>
      <c r="S13" s="21" t="s">
        <v>554</v>
      </c>
      <c r="V13" s="12">
        <v>9</v>
      </c>
      <c r="W13" s="69">
        <v>127980</v>
      </c>
      <c r="X13" s="69">
        <f>X9*1.5</f>
        <v>129060</v>
      </c>
      <c r="Y13" s="69">
        <v>129060</v>
      </c>
      <c r="Z13" s="69">
        <v>132300</v>
      </c>
      <c r="AA13" s="69">
        <v>132300</v>
      </c>
      <c r="AB13" s="69">
        <v>136080</v>
      </c>
      <c r="AC13" s="69">
        <v>136080</v>
      </c>
      <c r="AD13" s="69"/>
      <c r="AE13" s="69"/>
    </row>
    <row r="14" spans="1:46" ht="18" customHeight="1" x14ac:dyDescent="0.25">
      <c r="A14" s="62" t="s">
        <v>109</v>
      </c>
      <c r="B14" s="6"/>
      <c r="C14" s="27"/>
      <c r="D14" s="27"/>
      <c r="E14" s="27"/>
      <c r="F14" s="27"/>
      <c r="G14" s="27"/>
      <c r="H14" s="27"/>
      <c r="I14" s="27"/>
      <c r="J14" s="4"/>
      <c r="P14" s="75">
        <f>Input!E22</f>
        <v>0.6</v>
      </c>
      <c r="Q14" s="74">
        <f>Q6*P14</f>
        <v>15876</v>
      </c>
      <c r="R14" s="349"/>
    </row>
    <row r="15" spans="1:46" ht="15" customHeight="1" x14ac:dyDescent="0.25">
      <c r="B15" s="6"/>
      <c r="C15" s="27"/>
      <c r="D15" s="27"/>
      <c r="E15" s="27"/>
      <c r="F15" s="27"/>
      <c r="G15" s="27"/>
      <c r="H15" s="27"/>
      <c r="I15" s="4"/>
    </row>
    <row r="16" spans="1:46" s="18" customFormat="1" ht="15" customHeight="1" x14ac:dyDescent="0.25">
      <c r="B16" s="18">
        <v>1</v>
      </c>
      <c r="C16" s="18">
        <v>2</v>
      </c>
      <c r="D16" s="18">
        <v>3</v>
      </c>
      <c r="E16" s="18">
        <v>4</v>
      </c>
      <c r="F16" s="18">
        <v>5</v>
      </c>
      <c r="G16" s="18">
        <v>6</v>
      </c>
      <c r="H16" s="18">
        <v>7</v>
      </c>
      <c r="I16" s="18">
        <v>8</v>
      </c>
      <c r="J16" s="18">
        <v>9</v>
      </c>
      <c r="K16" s="18">
        <v>10</v>
      </c>
      <c r="L16" s="18">
        <v>11</v>
      </c>
      <c r="M16" s="18">
        <v>12</v>
      </c>
      <c r="N16" s="18">
        <v>13</v>
      </c>
      <c r="O16" s="18">
        <v>14</v>
      </c>
      <c r="P16" s="18">
        <v>15</v>
      </c>
      <c r="Q16" s="18">
        <v>16</v>
      </c>
      <c r="R16" s="18">
        <v>17</v>
      </c>
      <c r="S16" s="18">
        <v>18</v>
      </c>
      <c r="T16" s="18">
        <v>19</v>
      </c>
      <c r="U16" s="18">
        <v>20</v>
      </c>
      <c r="V16" s="18">
        <v>21</v>
      </c>
      <c r="W16" s="18">
        <v>22</v>
      </c>
      <c r="X16" s="18">
        <v>23</v>
      </c>
      <c r="Y16" s="18">
        <v>24</v>
      </c>
      <c r="Z16" s="18">
        <v>25</v>
      </c>
      <c r="AA16" s="18">
        <v>26</v>
      </c>
      <c r="AB16" s="18">
        <v>27</v>
      </c>
      <c r="AC16" s="18">
        <v>28</v>
      </c>
      <c r="AD16" s="18">
        <v>29</v>
      </c>
      <c r="AE16" s="18">
        <v>30</v>
      </c>
      <c r="AF16" s="18">
        <v>31</v>
      </c>
      <c r="AG16" s="18">
        <v>32</v>
      </c>
      <c r="AH16" s="18">
        <v>33</v>
      </c>
      <c r="AI16" s="18">
        <v>34</v>
      </c>
      <c r="AJ16" s="18">
        <v>35</v>
      </c>
      <c r="AK16" s="18">
        <v>36</v>
      </c>
      <c r="AL16" s="18">
        <v>37</v>
      </c>
      <c r="AM16" s="18">
        <v>38</v>
      </c>
      <c r="AN16" s="18">
        <v>39</v>
      </c>
      <c r="AO16" s="18">
        <v>40</v>
      </c>
      <c r="AP16" s="18">
        <v>41</v>
      </c>
      <c r="AQ16" s="18">
        <v>42</v>
      </c>
      <c r="AR16" s="18">
        <v>43</v>
      </c>
      <c r="AS16" s="18">
        <v>44</v>
      </c>
      <c r="AT16" s="18">
        <v>45</v>
      </c>
    </row>
    <row r="17" spans="1:46" s="12" customFormat="1" ht="15" customHeight="1" x14ac:dyDescent="0.25">
      <c r="A17" s="7"/>
      <c r="B17" s="7"/>
      <c r="C17" s="8" t="s">
        <v>4</v>
      </c>
      <c r="D17" s="8" t="s">
        <v>5</v>
      </c>
      <c r="E17" s="8" t="s">
        <v>6</v>
      </c>
      <c r="F17" s="8" t="s">
        <v>7</v>
      </c>
      <c r="G17" s="8" t="s">
        <v>8</v>
      </c>
      <c r="H17" s="8" t="s">
        <v>533</v>
      </c>
      <c r="I17" s="8" t="s">
        <v>534</v>
      </c>
      <c r="J17" s="8" t="s">
        <v>535</v>
      </c>
      <c r="K17" s="8" t="s">
        <v>536</v>
      </c>
      <c r="L17" s="9" t="s">
        <v>44</v>
      </c>
      <c r="M17" s="9" t="s">
        <v>13</v>
      </c>
      <c r="N17" s="9" t="s">
        <v>14</v>
      </c>
      <c r="O17" s="10" t="s">
        <v>19</v>
      </c>
      <c r="P17" s="10" t="s">
        <v>61</v>
      </c>
      <c r="Q17" s="10" t="s">
        <v>62</v>
      </c>
      <c r="R17" s="10" t="s">
        <v>63</v>
      </c>
      <c r="S17" s="10" t="s">
        <v>64</v>
      </c>
      <c r="T17" s="10" t="s">
        <v>46</v>
      </c>
      <c r="U17" s="10" t="s">
        <v>47</v>
      </c>
      <c r="V17" s="10" t="s">
        <v>48</v>
      </c>
      <c r="W17" s="10" t="s">
        <v>49</v>
      </c>
      <c r="X17" s="10" t="s">
        <v>50</v>
      </c>
      <c r="Y17" s="10" t="s">
        <v>51</v>
      </c>
      <c r="Z17" s="10" t="s">
        <v>52</v>
      </c>
      <c r="AA17" s="10" t="s">
        <v>133</v>
      </c>
      <c r="AB17" s="10" t="s">
        <v>134</v>
      </c>
      <c r="AC17" s="11" t="s">
        <v>44</v>
      </c>
      <c r="AD17" s="11" t="s">
        <v>55</v>
      </c>
      <c r="AE17" s="11" t="s">
        <v>56</v>
      </c>
      <c r="AF17" s="11" t="s">
        <v>57</v>
      </c>
      <c r="AG17" s="11" t="s">
        <v>58</v>
      </c>
      <c r="AH17" s="11" t="s">
        <v>20</v>
      </c>
      <c r="AI17" s="19" t="s">
        <v>36</v>
      </c>
      <c r="AJ17" s="19" t="s">
        <v>37</v>
      </c>
      <c r="AK17" s="19" t="s">
        <v>38</v>
      </c>
      <c r="AL17" s="19" t="s">
        <v>39</v>
      </c>
      <c r="AM17" s="19" t="s">
        <v>40</v>
      </c>
      <c r="AN17" s="19" t="s">
        <v>542</v>
      </c>
      <c r="AO17" s="19" t="s">
        <v>543</v>
      </c>
      <c r="AP17" s="19" t="s">
        <v>544</v>
      </c>
      <c r="AQ17" s="19" t="s">
        <v>545</v>
      </c>
      <c r="AR17" s="19" t="s">
        <v>210</v>
      </c>
      <c r="AS17" s="19" t="s">
        <v>41</v>
      </c>
      <c r="AT17" s="19" t="s">
        <v>42</v>
      </c>
    </row>
    <row r="18" spans="1:46" s="3" customFormat="1" ht="15" customHeight="1" x14ac:dyDescent="0.25">
      <c r="A18" s="63" t="s">
        <v>516</v>
      </c>
      <c r="B18" s="13">
        <v>0</v>
      </c>
      <c r="C18" s="14">
        <f t="shared" ref="C18:N18" si="0">IF($B$28=1,C20,0)</f>
        <v>0</v>
      </c>
      <c r="D18" s="14">
        <f t="shared" si="0"/>
        <v>0</v>
      </c>
      <c r="E18" s="14">
        <f t="shared" si="0"/>
        <v>0</v>
      </c>
      <c r="F18" s="14">
        <f t="shared" si="0"/>
        <v>0</v>
      </c>
      <c r="G18" s="14">
        <f t="shared" si="0"/>
        <v>0</v>
      </c>
      <c r="H18" s="14">
        <f t="shared" si="0"/>
        <v>0</v>
      </c>
      <c r="I18" s="14">
        <f t="shared" si="0"/>
        <v>0</v>
      </c>
      <c r="J18" s="14">
        <f t="shared" si="0"/>
        <v>0</v>
      </c>
      <c r="K18" s="14">
        <f t="shared" si="0"/>
        <v>0</v>
      </c>
      <c r="L18" s="15">
        <f t="shared" si="0"/>
        <v>0</v>
      </c>
      <c r="M18" s="15">
        <f t="shared" si="0"/>
        <v>0</v>
      </c>
      <c r="N18" s="15">
        <f t="shared" si="0"/>
        <v>0</v>
      </c>
      <c r="O18" s="245">
        <f>IF(Input!$K$53=1,'Tabellen B'!O26,'Tabellen B'!O33)</f>
        <v>0.29900000000000004</v>
      </c>
      <c r="P18" s="245">
        <f>IF(Input!$K$53=1,'Tabellen B'!P26,'Tabellen B'!P33)</f>
        <v>0.12</v>
      </c>
      <c r="Q18" s="245">
        <f>IF(Input!$K$53=1,'Tabellen B'!Q26,'Tabellen B'!Q33)</f>
        <v>0.18</v>
      </c>
      <c r="R18" s="245">
        <f>IF(Input!$K$53=1,'Tabellen B'!R26,'Tabellen B'!R33)</f>
        <v>0.22</v>
      </c>
      <c r="S18" s="245">
        <f>IF(Input!$K$53=1,'Tabellen B'!S26,'Tabellen B'!S33)</f>
        <v>0.28000000000000003</v>
      </c>
      <c r="T18" s="245">
        <f>IF(Input!$K$53=1,'Tabellen B'!T26,'Tabellen B'!T33)</f>
        <v>0.34</v>
      </c>
      <c r="U18" s="245">
        <f>IF(Input!$K$53=1,'Tabellen B'!U26,'Tabellen B'!U33)</f>
        <v>0.4</v>
      </c>
      <c r="V18" s="245">
        <f>IF(Input!$K$53=1,'Tabellen B'!V26,'Tabellen B'!V33)</f>
        <v>0.46</v>
      </c>
      <c r="W18" s="245">
        <f>IF(Input!$K$53=1,'Tabellen B'!W26,'Tabellen B'!W33)</f>
        <v>0.52</v>
      </c>
      <c r="X18" s="245">
        <f>IF(Input!$K$53=1,'Tabellen B'!X26,'Tabellen B'!X33)</f>
        <v>0.57999999999999996</v>
      </c>
      <c r="Y18" s="245">
        <f>IF(Input!$K$53=1,'Tabellen B'!Y26,'Tabellen B'!Y33)</f>
        <v>0.62</v>
      </c>
      <c r="Z18" s="245">
        <f>IF(Input!$K$53=1,'Tabellen B'!Z26,'Tabellen B'!Z33)</f>
        <v>0.68</v>
      </c>
      <c r="AA18" s="245">
        <f>IF(Input!$K$53=1,'Tabellen B'!AA26,'Tabellen B'!AA33)</f>
        <v>0.74</v>
      </c>
      <c r="AB18" s="245">
        <f>IF(Input!$K$53=1,'Tabellen B'!AB26,'Tabellen B'!AB33)</f>
        <v>0.8</v>
      </c>
      <c r="AC18" s="16">
        <v>0</v>
      </c>
      <c r="AD18" s="16">
        <v>0.02</v>
      </c>
      <c r="AE18" s="16">
        <v>0.04</v>
      </c>
      <c r="AF18" s="16">
        <v>0.06</v>
      </c>
      <c r="AG18" s="16">
        <v>0.08</v>
      </c>
      <c r="AH18" s="16"/>
      <c r="AI18" s="616">
        <f>Wertebereich!F35</f>
        <v>0.06</v>
      </c>
      <c r="AJ18" s="616">
        <f>Wertebereich!G35</f>
        <v>8.0000000000000016E-2</v>
      </c>
      <c r="AK18" s="616">
        <f>Wertebereich!H35</f>
        <v>9.6000000000000002E-2</v>
      </c>
      <c r="AL18" s="616">
        <f>Wertebereich!I35</f>
        <v>0.12</v>
      </c>
      <c r="AM18" s="616">
        <f>Wertebereich!J35</f>
        <v>0.14000000000000001</v>
      </c>
      <c r="AN18" s="616">
        <f>Wertebereich!K35</f>
        <v>8.0000000000000016E-2</v>
      </c>
      <c r="AO18" s="616">
        <f>Wertebereich!L35</f>
        <v>0.1</v>
      </c>
      <c r="AP18" s="616">
        <f>Wertebereich!M35</f>
        <v>4.0000000000000008E-2</v>
      </c>
      <c r="AQ18" s="616">
        <f>Wertebereich!N35</f>
        <v>0.06</v>
      </c>
      <c r="AR18" s="20">
        <v>0</v>
      </c>
      <c r="AS18" s="616">
        <f>Wertebereich!P35</f>
        <v>0.04</v>
      </c>
      <c r="AT18" s="616">
        <f>Wertebereich!Q35</f>
        <v>0</v>
      </c>
    </row>
    <row r="19" spans="1:46" s="3" customFormat="1" ht="15" customHeight="1" x14ac:dyDescent="0.25">
      <c r="A19" s="63" t="s">
        <v>517</v>
      </c>
      <c r="B19" s="13">
        <v>1</v>
      </c>
      <c r="C19" s="14">
        <f t="shared" ref="C19:N19" si="1">IF($B$28&lt;&gt;3,C20,0)</f>
        <v>0</v>
      </c>
      <c r="D19" s="14">
        <f t="shared" si="1"/>
        <v>0</v>
      </c>
      <c r="E19" s="14">
        <f t="shared" si="1"/>
        <v>0</v>
      </c>
      <c r="F19" s="14">
        <f t="shared" si="1"/>
        <v>0</v>
      </c>
      <c r="G19" s="14">
        <f t="shared" si="1"/>
        <v>0</v>
      </c>
      <c r="H19" s="14">
        <f t="shared" si="1"/>
        <v>0</v>
      </c>
      <c r="I19" s="14">
        <f t="shared" si="1"/>
        <v>0</v>
      </c>
      <c r="J19" s="14">
        <f t="shared" si="1"/>
        <v>0</v>
      </c>
      <c r="K19" s="14">
        <f t="shared" si="1"/>
        <v>0</v>
      </c>
      <c r="L19" s="15">
        <f t="shared" si="1"/>
        <v>0</v>
      </c>
      <c r="M19" s="15">
        <f t="shared" si="1"/>
        <v>0</v>
      </c>
      <c r="N19" s="15">
        <f t="shared" si="1"/>
        <v>0</v>
      </c>
      <c r="O19" s="245">
        <f>IF(Input!$K$53=1,'Tabellen B'!O26,'Tabellen B'!O33)</f>
        <v>0.29900000000000004</v>
      </c>
      <c r="P19" s="245">
        <f>IF(Input!$K$53=1,'Tabellen B'!P26,'Tabellen B'!P33)</f>
        <v>0.12</v>
      </c>
      <c r="Q19" s="245">
        <f>IF(Input!$K$53=1,'Tabellen B'!Q26,'Tabellen B'!Q33)</f>
        <v>0.18</v>
      </c>
      <c r="R19" s="245">
        <f>IF(Input!$K$53=1,'Tabellen B'!R26,'Tabellen B'!R33)</f>
        <v>0.22</v>
      </c>
      <c r="S19" s="245">
        <f>IF(Input!$K$53=1,'Tabellen B'!S26,'Tabellen B'!S33)</f>
        <v>0.28000000000000003</v>
      </c>
      <c r="T19" s="245">
        <f>IF(Input!$K$53=1,'Tabellen B'!T26,'Tabellen B'!T33)</f>
        <v>0.34</v>
      </c>
      <c r="U19" s="245">
        <f>IF(Input!$K$53=1,'Tabellen B'!U26,'Tabellen B'!U33)</f>
        <v>0.4</v>
      </c>
      <c r="V19" s="245">
        <f>IF(Input!$K$53=1,'Tabellen B'!V26,'Tabellen B'!V33)</f>
        <v>0.46</v>
      </c>
      <c r="W19" s="245">
        <f>IF(Input!$K$53=1,'Tabellen B'!W26,'Tabellen B'!W33)</f>
        <v>0.52</v>
      </c>
      <c r="X19" s="245">
        <f>IF(Input!$K$53=1,'Tabellen B'!X26,'Tabellen B'!X33)</f>
        <v>0.57999999999999996</v>
      </c>
      <c r="Y19" s="245">
        <f>IF(Input!$K$53=1,'Tabellen B'!Y26,'Tabellen B'!Y33)</f>
        <v>0.62</v>
      </c>
      <c r="Z19" s="245">
        <f>IF(Input!$K$53=1,'Tabellen B'!Z26,'Tabellen B'!Z33)</f>
        <v>0.68</v>
      </c>
      <c r="AA19" s="245">
        <f>IF(Input!$K$53=1,'Tabellen B'!AA26,'Tabellen B'!AA33)</f>
        <v>0.74</v>
      </c>
      <c r="AB19" s="245">
        <f>IF(Input!$K$53=1,'Tabellen B'!AB26,'Tabellen B'!AB33)</f>
        <v>0.8</v>
      </c>
      <c r="AC19" s="16">
        <v>0</v>
      </c>
      <c r="AD19" s="16">
        <v>0.02</v>
      </c>
      <c r="AE19" s="16">
        <v>0.04</v>
      </c>
      <c r="AF19" s="16">
        <v>0.06</v>
      </c>
      <c r="AG19" s="16">
        <v>0.08</v>
      </c>
      <c r="AH19" s="16"/>
      <c r="AI19" s="616">
        <f>AI18</f>
        <v>0.06</v>
      </c>
      <c r="AJ19" s="616">
        <f t="shared" ref="AJ19:AQ19" si="2">AJ18</f>
        <v>8.0000000000000016E-2</v>
      </c>
      <c r="AK19" s="616">
        <f t="shared" si="2"/>
        <v>9.6000000000000002E-2</v>
      </c>
      <c r="AL19" s="616">
        <f t="shared" si="2"/>
        <v>0.12</v>
      </c>
      <c r="AM19" s="616">
        <f t="shared" si="2"/>
        <v>0.14000000000000001</v>
      </c>
      <c r="AN19" s="616">
        <f t="shared" si="2"/>
        <v>8.0000000000000016E-2</v>
      </c>
      <c r="AO19" s="616">
        <f t="shared" si="2"/>
        <v>0.1</v>
      </c>
      <c r="AP19" s="616">
        <f t="shared" si="2"/>
        <v>4.0000000000000008E-2</v>
      </c>
      <c r="AQ19" s="616">
        <f t="shared" si="2"/>
        <v>0.06</v>
      </c>
      <c r="AR19" s="20">
        <v>0</v>
      </c>
      <c r="AS19" s="616">
        <f>AS18</f>
        <v>0.04</v>
      </c>
      <c r="AT19" s="616">
        <f>AT18</f>
        <v>0</v>
      </c>
    </row>
    <row r="20" spans="1:46" s="3" customFormat="1" ht="15" customHeight="1" x14ac:dyDescent="0.25">
      <c r="A20" s="13" t="s">
        <v>33</v>
      </c>
      <c r="B20" s="13">
        <v>2</v>
      </c>
      <c r="C20" s="14">
        <v>7</v>
      </c>
      <c r="D20" s="14">
        <v>11</v>
      </c>
      <c r="E20" s="14">
        <v>16.5</v>
      </c>
      <c r="F20" s="14">
        <v>20</v>
      </c>
      <c r="G20" s="14">
        <v>21</v>
      </c>
      <c r="H20" s="14">
        <v>8</v>
      </c>
      <c r="I20" s="14">
        <v>9</v>
      </c>
      <c r="J20" s="14">
        <v>5</v>
      </c>
      <c r="K20" s="14">
        <v>6</v>
      </c>
      <c r="L20" s="15">
        <v>0</v>
      </c>
      <c r="M20" s="15">
        <v>2</v>
      </c>
      <c r="N20" s="15">
        <v>4</v>
      </c>
      <c r="O20" s="245">
        <f>IF(Input!$K$53=1,'Tabellen B'!O27,'Tabellen B'!O34)</f>
        <v>0.55699999999999994</v>
      </c>
      <c r="P20" s="245">
        <f>IF(Input!$K$53=1,'Tabellen B'!P27,'Tabellen B'!P34)</f>
        <v>0.18</v>
      </c>
      <c r="Q20" s="245">
        <f>IF(Input!$K$53=1,'Tabellen B'!Q27,'Tabellen B'!Q34)</f>
        <v>0.26</v>
      </c>
      <c r="R20" s="245">
        <f>IF(Input!$K$53=1,'Tabellen B'!R27,'Tabellen B'!R34)</f>
        <v>0.34</v>
      </c>
      <c r="S20" s="245">
        <f>IF(Input!$K$53=1,'Tabellen B'!S27,'Tabellen B'!S34)</f>
        <v>0.42</v>
      </c>
      <c r="T20" s="245">
        <f>IF(Input!$K$53=1,'Tabellen B'!T27,'Tabellen B'!T34)</f>
        <v>0.52</v>
      </c>
      <c r="U20" s="245">
        <f>IF(Input!$K$53=1,'Tabellen B'!U27,'Tabellen B'!U34)</f>
        <v>0.6</v>
      </c>
      <c r="V20" s="245">
        <f>IF(Input!$K$53=1,'Tabellen B'!V27,'Tabellen B'!V34)</f>
        <v>0.68</v>
      </c>
      <c r="W20" s="245">
        <f>IF(Input!$K$53=1,'Tabellen B'!W27,'Tabellen B'!W34)</f>
        <v>0.76</v>
      </c>
      <c r="X20" s="245">
        <f>IF(Input!$K$53=1,'Tabellen B'!X27,'Tabellen B'!X34)</f>
        <v>0.86</v>
      </c>
      <c r="Y20" s="245">
        <f>IF(Input!$K$53=1,'Tabellen B'!Y27,'Tabellen B'!Y34)</f>
        <v>0.94</v>
      </c>
      <c r="Z20" s="245">
        <f>IF(Input!$K$53=1,'Tabellen B'!Z27,'Tabellen B'!Z34)</f>
        <v>1.02</v>
      </c>
      <c r="AA20" s="245">
        <f>IF(Input!$K$53=1,'Tabellen B'!AA27,'Tabellen B'!AA34)</f>
        <v>1.1200000000000001</v>
      </c>
      <c r="AB20" s="245">
        <f>IF(Input!$K$53=1,'Tabellen B'!AB27,'Tabellen B'!AB34)</f>
        <v>1.2</v>
      </c>
      <c r="AC20" s="16">
        <v>0</v>
      </c>
      <c r="AD20" s="16">
        <v>0.02</v>
      </c>
      <c r="AE20" s="16">
        <v>0.04</v>
      </c>
      <c r="AF20" s="16">
        <v>0.06</v>
      </c>
      <c r="AG20" s="16">
        <v>0.08</v>
      </c>
      <c r="AH20" s="16"/>
      <c r="AI20" s="616">
        <f>Wertebereich!F36</f>
        <v>0.14000000000000001</v>
      </c>
      <c r="AJ20" s="616">
        <f>Wertebereich!G36</f>
        <v>0.18</v>
      </c>
      <c r="AK20" s="616">
        <f>Wertebereich!H36</f>
        <v>0.22</v>
      </c>
      <c r="AL20" s="616">
        <f>Wertebereich!I36</f>
        <v>0.24</v>
      </c>
      <c r="AM20" s="616">
        <f>Wertebereich!J36</f>
        <v>0.28000000000000003</v>
      </c>
      <c r="AN20" s="616">
        <f>Wertebereich!K36</f>
        <v>0.18</v>
      </c>
      <c r="AO20" s="616">
        <f>Wertebereich!L36</f>
        <v>0.18</v>
      </c>
      <c r="AP20" s="616">
        <f>Wertebereich!M36</f>
        <v>8.0000000000000016E-2</v>
      </c>
      <c r="AQ20" s="616">
        <f>Wertebereich!N36</f>
        <v>0.1</v>
      </c>
      <c r="AR20" s="20">
        <v>0</v>
      </c>
      <c r="AS20" s="616">
        <f>Wertebereich!P36</f>
        <v>0.06</v>
      </c>
      <c r="AT20" s="616">
        <f>Wertebereich!Q36</f>
        <v>0</v>
      </c>
    </row>
    <row r="21" spans="1:46" s="3" customFormat="1" ht="15" customHeight="1" x14ac:dyDescent="0.25">
      <c r="A21" s="13" t="s">
        <v>653</v>
      </c>
      <c r="B21" s="13">
        <v>3</v>
      </c>
      <c r="C21" s="14">
        <v>10</v>
      </c>
      <c r="D21" s="14">
        <v>12</v>
      </c>
      <c r="E21" s="14">
        <v>16.5</v>
      </c>
      <c r="F21" s="14">
        <v>20</v>
      </c>
      <c r="G21" s="14">
        <v>22</v>
      </c>
      <c r="H21" s="14">
        <v>11</v>
      </c>
      <c r="I21" s="14">
        <v>12</v>
      </c>
      <c r="J21" s="14">
        <v>7</v>
      </c>
      <c r="K21" s="14">
        <v>8</v>
      </c>
      <c r="L21" s="15">
        <v>0</v>
      </c>
      <c r="M21" s="15">
        <v>2</v>
      </c>
      <c r="N21" s="15">
        <v>3</v>
      </c>
      <c r="O21" s="245">
        <f>IF(Input!$K$53=1,'Tabellen B'!O28,'Tabellen B'!O35)</f>
        <v>0.67700000000000005</v>
      </c>
      <c r="P21" s="245">
        <f>IF(Input!$K$53=1,'Tabellen B'!P28,'Tabellen B'!P35)</f>
        <v>0.2</v>
      </c>
      <c r="Q21" s="245">
        <f>IF(Input!$K$53=1,'Tabellen B'!Q28,'Tabellen B'!Q35)</f>
        <v>0.32</v>
      </c>
      <c r="R21" s="245">
        <f>IF(Input!$K$53=1,'Tabellen B'!R28,'Tabellen B'!R35)</f>
        <v>0.42</v>
      </c>
      <c r="S21" s="245">
        <f>IF(Input!$K$53=1,'Tabellen B'!S28,'Tabellen B'!S35)</f>
        <v>0.52</v>
      </c>
      <c r="T21" s="245">
        <f>IF(Input!$K$53=1,'Tabellen B'!T28,'Tabellen B'!T35)</f>
        <v>0.62</v>
      </c>
      <c r="U21" s="245">
        <f>IF(Input!$K$53=1,'Tabellen B'!U28,'Tabellen B'!U35)</f>
        <v>0.74</v>
      </c>
      <c r="V21" s="245">
        <f>IF(Input!$K$53=1,'Tabellen B'!V28,'Tabellen B'!V35)</f>
        <v>0.84</v>
      </c>
      <c r="W21" s="245">
        <f>IF(Input!$K$53=1,'Tabellen B'!W28,'Tabellen B'!W35)</f>
        <v>0.94</v>
      </c>
      <c r="X21" s="245">
        <f>IF(Input!$K$53=1,'Tabellen B'!X28,'Tabellen B'!X35)</f>
        <v>1.04</v>
      </c>
      <c r="Y21" s="245">
        <f>IF(Input!$K$53=1,'Tabellen B'!Y28,'Tabellen B'!Y35)</f>
        <v>1.1399999999999999</v>
      </c>
      <c r="Z21" s="245">
        <f>IF(Input!$K$53=1,'Tabellen B'!Z28,'Tabellen B'!Z35)</f>
        <v>1.26</v>
      </c>
      <c r="AA21" s="245">
        <f>IF(Input!$K$53=1,'Tabellen B'!AA28,'Tabellen B'!AA35)</f>
        <v>1.36</v>
      </c>
      <c r="AB21" s="245">
        <f>IF(Input!$K$53=1,'Tabellen B'!AB28,'Tabellen B'!AB35)</f>
        <v>1.46</v>
      </c>
      <c r="AC21" s="16">
        <v>0</v>
      </c>
      <c r="AD21" s="16">
        <v>0.02</v>
      </c>
      <c r="AE21" s="16">
        <v>0.04</v>
      </c>
      <c r="AF21" s="16">
        <v>0.06</v>
      </c>
      <c r="AG21" s="16">
        <v>0.08</v>
      </c>
      <c r="AH21" s="16"/>
      <c r="AI21" s="616">
        <f>Wertebereich!F37</f>
        <v>0.22</v>
      </c>
      <c r="AJ21" s="616">
        <f>Wertebereich!G37</f>
        <v>0.3</v>
      </c>
      <c r="AK21" s="616">
        <f>Wertebereich!H37</f>
        <v>0.38</v>
      </c>
      <c r="AL21" s="616">
        <f>Wertebereich!I37</f>
        <v>0.42</v>
      </c>
      <c r="AM21" s="616">
        <f>Wertebereich!J37</f>
        <v>0.48</v>
      </c>
      <c r="AN21" s="616">
        <f>Wertebereich!K37</f>
        <v>0.24</v>
      </c>
      <c r="AO21" s="616">
        <f>Wertebereich!L37</f>
        <v>0.26</v>
      </c>
      <c r="AP21" s="616">
        <f>Wertebereich!M37</f>
        <v>0.18</v>
      </c>
      <c r="AQ21" s="616">
        <f>Wertebereich!N37</f>
        <v>0.2</v>
      </c>
      <c r="AR21" s="20">
        <v>0</v>
      </c>
      <c r="AS21" s="616">
        <f>Wertebereich!P37</f>
        <v>0.06</v>
      </c>
      <c r="AT21" s="616">
        <f>Wertebereich!Q37</f>
        <v>0</v>
      </c>
    </row>
    <row r="22" spans="1:46" s="3" customFormat="1" ht="15" customHeight="1" x14ac:dyDescent="0.25">
      <c r="A22" s="13" t="s">
        <v>654</v>
      </c>
      <c r="B22" s="13">
        <v>5</v>
      </c>
      <c r="C22" s="14"/>
      <c r="D22" s="14"/>
      <c r="E22" s="14"/>
      <c r="F22" s="14"/>
      <c r="G22" s="14"/>
      <c r="H22" s="14"/>
      <c r="I22" s="14"/>
      <c r="J22" s="14"/>
      <c r="K22" s="14"/>
      <c r="L22" s="15"/>
      <c r="M22" s="15"/>
      <c r="N22" s="15"/>
      <c r="O22" s="245">
        <f>IF(Input!$K$53=1,'Tabellen B'!O29,'Tabellen B'!O36)</f>
        <v>0.7</v>
      </c>
      <c r="P22" s="245">
        <f>IF(Input!$K$53=1,'Tabellen B'!P29,'Tabellen B'!P36)</f>
        <v>0.22</v>
      </c>
      <c r="Q22" s="245">
        <f>IF(Input!$K$53=1,'Tabellen B'!Q29,'Tabellen B'!Q36)</f>
        <v>0.34</v>
      </c>
      <c r="R22" s="245">
        <f>IF(Input!$K$53=1,'Tabellen B'!R29,'Tabellen B'!R36)</f>
        <v>0.44</v>
      </c>
      <c r="S22" s="245">
        <f>IF(Input!$K$53=1,'Tabellen B'!S29,'Tabellen B'!S36)</f>
        <v>0.56000000000000005</v>
      </c>
      <c r="T22" s="245">
        <f>IF(Input!$K$53=1,'Tabellen B'!T29,'Tabellen B'!T36)</f>
        <v>0.66</v>
      </c>
      <c r="U22" s="245">
        <f>IF(Input!$K$53=1,'Tabellen B'!U29,'Tabellen B'!U36)</f>
        <v>0.78</v>
      </c>
      <c r="V22" s="245">
        <f>IF(Input!$K$53=1,'Tabellen B'!V29,'Tabellen B'!V36)</f>
        <v>0.88</v>
      </c>
      <c r="W22" s="245">
        <f>IF(Input!$K$53=1,'Tabellen B'!W29,'Tabellen B'!W36)</f>
        <v>1</v>
      </c>
      <c r="X22" s="245">
        <f>IF(Input!$K$53=1,'Tabellen B'!X29,'Tabellen B'!X36)</f>
        <v>1.1000000000000001</v>
      </c>
      <c r="Y22" s="245">
        <f>IF(Input!$K$53=1,'Tabellen B'!Y29,'Tabellen B'!Y36)</f>
        <v>1.22</v>
      </c>
      <c r="Z22" s="245">
        <f>IF(Input!$K$53=1,'Tabellen B'!Z29,'Tabellen B'!Z36)</f>
        <v>1.32</v>
      </c>
      <c r="AA22" s="245">
        <f>IF(Input!$K$53=1,'Tabellen B'!AA29,'Tabellen B'!AA36)</f>
        <v>1.44</v>
      </c>
      <c r="AB22" s="245">
        <f>IF(Input!$K$53=1,'Tabellen B'!AB29,'Tabellen B'!AB36)</f>
        <v>1.54</v>
      </c>
      <c r="AC22" s="16">
        <v>0</v>
      </c>
      <c r="AD22" s="16">
        <v>0.02</v>
      </c>
      <c r="AE22" s="16">
        <v>0.04</v>
      </c>
      <c r="AF22" s="16">
        <v>0.06</v>
      </c>
      <c r="AG22" s="16">
        <v>0.08</v>
      </c>
      <c r="AH22" s="16"/>
      <c r="AI22" s="616">
        <f>Wertebereich!F38</f>
        <v>0.22</v>
      </c>
      <c r="AJ22" s="616">
        <f>Wertebereich!G38</f>
        <v>0.3</v>
      </c>
      <c r="AK22" s="616">
        <f>Wertebereich!H38</f>
        <v>0.38</v>
      </c>
      <c r="AL22" s="616">
        <f>Wertebereich!I38</f>
        <v>0.42</v>
      </c>
      <c r="AM22" s="616">
        <f>Wertebereich!J38</f>
        <v>0.48</v>
      </c>
      <c r="AN22" s="616">
        <f>Wertebereich!K38</f>
        <v>0.24</v>
      </c>
      <c r="AO22" s="616">
        <f>Wertebereich!L38</f>
        <v>0.26</v>
      </c>
      <c r="AP22" s="616">
        <f>Wertebereich!M38</f>
        <v>0.18</v>
      </c>
      <c r="AQ22" s="616">
        <f>Wertebereich!N38</f>
        <v>0.2</v>
      </c>
      <c r="AR22" s="20">
        <v>0</v>
      </c>
      <c r="AS22" s="616">
        <f>Wertebereich!P38</f>
        <v>0.06</v>
      </c>
      <c r="AT22" s="616">
        <f>Wertebereich!Q38</f>
        <v>0</v>
      </c>
    </row>
    <row r="23" spans="1:46" s="3" customFormat="1" ht="15" customHeight="1" x14ac:dyDescent="0.25">
      <c r="A23" s="13" t="s">
        <v>35</v>
      </c>
      <c r="B23" s="13">
        <v>6</v>
      </c>
      <c r="C23" s="14">
        <v>15</v>
      </c>
      <c r="D23" s="14">
        <v>15</v>
      </c>
      <c r="E23" s="14">
        <v>16.5</v>
      </c>
      <c r="F23" s="14">
        <v>20</v>
      </c>
      <c r="G23" s="14">
        <v>23</v>
      </c>
      <c r="H23" s="14">
        <v>16</v>
      </c>
      <c r="I23" s="14">
        <v>17</v>
      </c>
      <c r="J23" s="14">
        <v>10</v>
      </c>
      <c r="K23" s="14">
        <v>11</v>
      </c>
      <c r="L23" s="15">
        <v>0</v>
      </c>
      <c r="M23" s="15">
        <v>2</v>
      </c>
      <c r="N23" s="15">
        <v>2</v>
      </c>
      <c r="O23" s="245">
        <f>IF(Input!$K$53=1,'Tabellen B'!O30,'Tabellen B'!O37)</f>
        <v>0.79999999999999993</v>
      </c>
      <c r="P23" s="245">
        <f>IF(Input!$K$53=1,'Tabellen B'!P30,'Tabellen B'!P37)</f>
        <v>0.3</v>
      </c>
      <c r="Q23" s="245">
        <f>IF(Input!$K$53=1,'Tabellen B'!Q30,'Tabellen B'!Q37)</f>
        <v>0.46</v>
      </c>
      <c r="R23" s="245">
        <f>IF(Input!$K$53=1,'Tabellen B'!R30,'Tabellen B'!R37)</f>
        <v>0.6</v>
      </c>
      <c r="S23" s="245">
        <f>IF(Input!$K$53=1,'Tabellen B'!S30,'Tabellen B'!S37)</f>
        <v>0.76</v>
      </c>
      <c r="T23" s="245">
        <f>IF(Input!$K$53=1,'Tabellen B'!T30,'Tabellen B'!T37)</f>
        <v>0.9</v>
      </c>
      <c r="U23" s="245">
        <f>IF(Input!$K$53=1,'Tabellen B'!U30,'Tabellen B'!U37)</f>
        <v>1.06</v>
      </c>
      <c r="V23" s="245">
        <f>IF(Input!$K$53=1,'Tabellen B'!V30,'Tabellen B'!V37)</f>
        <v>1.2</v>
      </c>
      <c r="W23" s="245">
        <f>IF(Input!$K$53=1,'Tabellen B'!W30,'Tabellen B'!W37)</f>
        <v>1.36</v>
      </c>
      <c r="X23" s="245">
        <f>IF(Input!$K$53=1,'Tabellen B'!X30,'Tabellen B'!X37)</f>
        <v>1.5</v>
      </c>
      <c r="Y23" s="245">
        <f>IF(Input!$K$53=1,'Tabellen B'!Y30,'Tabellen B'!Y37)</f>
        <v>1.66</v>
      </c>
      <c r="Z23" s="245">
        <f>IF(Input!$K$53=1,'Tabellen B'!Z30,'Tabellen B'!Z37)</f>
        <v>1.8</v>
      </c>
      <c r="AA23" s="245">
        <f>IF(Input!$K$53=1,'Tabellen B'!AA30,'Tabellen B'!AA37)</f>
        <v>1.96</v>
      </c>
      <c r="AB23" s="245">
        <f>IF(Input!$K$53=1,'Tabellen B'!AB30,'Tabellen B'!AB37)</f>
        <v>2.1</v>
      </c>
      <c r="AC23" s="16">
        <v>0</v>
      </c>
      <c r="AD23" s="16">
        <v>0.06</v>
      </c>
      <c r="AE23" s="16">
        <v>0.12</v>
      </c>
      <c r="AF23" s="16">
        <v>0.18</v>
      </c>
      <c r="AG23" s="16">
        <v>0.24</v>
      </c>
      <c r="AH23" s="16"/>
      <c r="AI23" s="616">
        <f>Wertebereich!F39</f>
        <v>0.3</v>
      </c>
      <c r="AJ23" s="616">
        <f>Wertebereich!G39</f>
        <v>0.5</v>
      </c>
      <c r="AK23" s="616">
        <f>Wertebereich!H39</f>
        <v>0.52</v>
      </c>
      <c r="AL23" s="616">
        <f>Wertebereich!I39</f>
        <v>0.57999999999999996</v>
      </c>
      <c r="AM23" s="616">
        <f>Wertebereich!J39</f>
        <v>0.7</v>
      </c>
      <c r="AN23" s="616">
        <f>Wertebereich!K39</f>
        <v>0.34</v>
      </c>
      <c r="AO23" s="616">
        <f>Wertebereich!L39</f>
        <v>0.34</v>
      </c>
      <c r="AP23" s="616">
        <f>Wertebereich!M39</f>
        <v>0.34</v>
      </c>
      <c r="AQ23" s="616">
        <f>Wertebereich!N39</f>
        <v>0.36</v>
      </c>
      <c r="AR23" s="20">
        <v>0</v>
      </c>
      <c r="AS23" s="616">
        <f>Wertebereich!P39</f>
        <v>0.04</v>
      </c>
      <c r="AT23" s="616">
        <f>Wertebereich!Q39</f>
        <v>0</v>
      </c>
    </row>
    <row r="24" spans="1:46" s="3" customFormat="1" ht="15" customHeight="1" x14ac:dyDescent="0.25">
      <c r="A24" s="13" t="s">
        <v>655</v>
      </c>
      <c r="B24" s="13">
        <v>7</v>
      </c>
      <c r="C24" s="14"/>
      <c r="D24" s="14"/>
      <c r="E24" s="14"/>
      <c r="F24" s="14"/>
      <c r="G24" s="14"/>
      <c r="H24" s="14"/>
      <c r="I24" s="14"/>
      <c r="J24" s="14"/>
      <c r="K24" s="14"/>
      <c r="L24" s="15"/>
      <c r="M24" s="15"/>
      <c r="N24" s="15"/>
      <c r="O24" s="245">
        <f>IF(Input!$K$53=1,'Tabellen B'!O31,'Tabellen B'!O38)</f>
        <v>0.67999999999999994</v>
      </c>
      <c r="P24" s="245">
        <f>IF(Input!$K$53=1,'Tabellen B'!P31,'Tabellen B'!P38)</f>
        <v>0.2</v>
      </c>
      <c r="Q24" s="245">
        <f>IF(Input!$K$53=1,'Tabellen B'!Q31,'Tabellen B'!Q38)</f>
        <v>0.3</v>
      </c>
      <c r="R24" s="245">
        <f>IF(Input!$K$53=1,'Tabellen B'!R31,'Tabellen B'!R38)</f>
        <v>0.4</v>
      </c>
      <c r="S24" s="245">
        <f>IF(Input!$K$53=1,'Tabellen B'!S31,'Tabellen B'!S38)</f>
        <v>0.5</v>
      </c>
      <c r="T24" s="245">
        <f>IF(Input!$K$53=1,'Tabellen B'!T31,'Tabellen B'!T38)</f>
        <v>0.6</v>
      </c>
      <c r="U24" s="245">
        <f>IF(Input!$K$53=1,'Tabellen B'!U31,'Tabellen B'!U38)</f>
        <v>0.7</v>
      </c>
      <c r="V24" s="245">
        <f>IF(Input!$K$53=1,'Tabellen B'!V31,'Tabellen B'!V38)</f>
        <v>0.8</v>
      </c>
      <c r="W24" s="245">
        <f>IF(Input!$K$53=1,'Tabellen B'!W31,'Tabellen B'!W38)</f>
        <v>0.9</v>
      </c>
      <c r="X24" s="245">
        <f>IF(Input!$K$53=1,'Tabellen B'!X31,'Tabellen B'!X38)</f>
        <v>1</v>
      </c>
      <c r="Y24" s="245">
        <f>IF(Input!$K$53=1,'Tabellen B'!Y31,'Tabellen B'!Y38)</f>
        <v>1.1000000000000001</v>
      </c>
      <c r="Z24" s="245">
        <f>IF(Input!$K$53=1,'Tabellen B'!Z31,'Tabellen B'!Z38)</f>
        <v>1.2</v>
      </c>
      <c r="AA24" s="245">
        <f>IF(Input!$K$53=1,'Tabellen B'!AA31,'Tabellen B'!AA38)</f>
        <v>1.3</v>
      </c>
      <c r="AB24" s="245">
        <f>IF(Input!$K$53=1,'Tabellen B'!AB31,'Tabellen B'!AB38)</f>
        <v>1.4</v>
      </c>
      <c r="AC24" s="16">
        <v>0</v>
      </c>
      <c r="AD24" s="16">
        <v>0.12</v>
      </c>
      <c r="AE24" s="16">
        <v>0.24</v>
      </c>
      <c r="AF24" s="16">
        <v>0.36</v>
      </c>
      <c r="AG24" s="16">
        <v>0.48</v>
      </c>
      <c r="AH24" s="16"/>
      <c r="AI24" s="616">
        <f>Wertebereich!F40</f>
        <v>0.3</v>
      </c>
      <c r="AJ24" s="616">
        <f>Wertebereich!G40</f>
        <v>0.5</v>
      </c>
      <c r="AK24" s="616">
        <f>Wertebereich!H40</f>
        <v>0.52</v>
      </c>
      <c r="AL24" s="616">
        <f>Wertebereich!I40</f>
        <v>0.57999999999999996</v>
      </c>
      <c r="AM24" s="616">
        <f>Wertebereich!J40</f>
        <v>0.7</v>
      </c>
      <c r="AN24" s="616">
        <f>Wertebereich!K40</f>
        <v>0.34</v>
      </c>
      <c r="AO24" s="616">
        <f>Wertebereich!L40</f>
        <v>0.34</v>
      </c>
      <c r="AP24" s="616">
        <f>Wertebereich!M40</f>
        <v>0.34</v>
      </c>
      <c r="AQ24" s="616">
        <f>Wertebereich!N40</f>
        <v>0.36</v>
      </c>
      <c r="AR24" s="20">
        <v>0</v>
      </c>
      <c r="AS24" s="616">
        <f>Wertebereich!P40</f>
        <v>0</v>
      </c>
      <c r="AT24" s="616">
        <f>Wertebereich!Q40</f>
        <v>0</v>
      </c>
    </row>
    <row r="25" spans="1:46" s="3" customFormat="1" ht="15" customHeight="1" x14ac:dyDescent="0.25">
      <c r="A25" s="13" t="s">
        <v>656</v>
      </c>
      <c r="B25" s="13">
        <v>8</v>
      </c>
      <c r="C25" s="14">
        <v>18</v>
      </c>
      <c r="D25" s="14">
        <v>18</v>
      </c>
      <c r="E25" s="14">
        <v>18</v>
      </c>
      <c r="F25" s="14">
        <v>20</v>
      </c>
      <c r="G25" s="14">
        <v>25</v>
      </c>
      <c r="H25" s="14">
        <v>19</v>
      </c>
      <c r="I25" s="14">
        <v>20</v>
      </c>
      <c r="J25" s="14">
        <v>12</v>
      </c>
      <c r="K25" s="14">
        <v>13</v>
      </c>
      <c r="L25" s="15">
        <v>0</v>
      </c>
      <c r="M25" s="15">
        <v>0</v>
      </c>
      <c r="N25" s="15">
        <v>0</v>
      </c>
      <c r="O25" s="246">
        <f>IF(Input!$K$53=1,'Tabellen B'!O32,'Tabellen B'!O39)</f>
        <v>0.52</v>
      </c>
      <c r="P25" s="246">
        <f>IF(Input!$K$53=1,'Tabellen B'!P32,'Tabellen B'!P39)</f>
        <v>0.16</v>
      </c>
      <c r="Q25" s="246">
        <f>IF(Input!$K$53=1,'Tabellen B'!Q32,'Tabellen B'!Q39)</f>
        <v>0.22</v>
      </c>
      <c r="R25" s="246">
        <f>IF(Input!$K$53=1,'Tabellen B'!R32,'Tabellen B'!R39)</f>
        <v>0.3</v>
      </c>
      <c r="S25" s="246">
        <f>IF(Input!$K$53=1,'Tabellen B'!S32,'Tabellen B'!S39)</f>
        <v>0.38</v>
      </c>
      <c r="T25" s="246">
        <f>IF(Input!$K$53=1,'Tabellen B'!T32,'Tabellen B'!T39)</f>
        <v>0.46</v>
      </c>
      <c r="U25" s="246">
        <f>IF(Input!$K$53=1,'Tabellen B'!U32,'Tabellen B'!U39)</f>
        <v>0.52</v>
      </c>
      <c r="V25" s="246">
        <f>IF(Input!$K$53=1,'Tabellen B'!V32,'Tabellen B'!V39)</f>
        <v>0.6</v>
      </c>
      <c r="W25" s="246">
        <f>IF(Input!$K$53=1,'Tabellen B'!W32,'Tabellen B'!W39)</f>
        <v>0.68</v>
      </c>
      <c r="X25" s="246">
        <f>IF(Input!$K$53=1,'Tabellen B'!X32,'Tabellen B'!X39)</f>
        <v>0.76</v>
      </c>
      <c r="Y25" s="246">
        <f>IF(Input!$K$53=1,'Tabellen B'!Y32,'Tabellen B'!Y39)</f>
        <v>0.82</v>
      </c>
      <c r="Z25" s="246">
        <f>IF(Input!$K$53=1,'Tabellen B'!Z32,'Tabellen B'!Z39)</f>
        <v>0.9</v>
      </c>
      <c r="AA25" s="246">
        <f>IF(Input!$K$53=1,'Tabellen B'!AA32,'Tabellen B'!AA39)</f>
        <v>0.98</v>
      </c>
      <c r="AB25" s="246">
        <f>IF(Input!$K$53=1,'Tabellen B'!AB32,'Tabellen B'!AB39)</f>
        <v>1.06</v>
      </c>
      <c r="AC25" s="16">
        <v>0</v>
      </c>
      <c r="AD25" s="16">
        <v>0.12</v>
      </c>
      <c r="AE25" s="16">
        <v>0.24</v>
      </c>
      <c r="AF25" s="16">
        <v>0.36</v>
      </c>
      <c r="AG25" s="16">
        <v>0.48</v>
      </c>
      <c r="AH25" s="16"/>
      <c r="AI25" s="616">
        <f>Wertebereich!F41</f>
        <v>0.3</v>
      </c>
      <c r="AJ25" s="616">
        <f>Wertebereich!G41</f>
        <v>0.5</v>
      </c>
      <c r="AK25" s="616">
        <f>Wertebereich!H41</f>
        <v>0.52</v>
      </c>
      <c r="AL25" s="616">
        <f>Wertebereich!I41</f>
        <v>0.57999999999999996</v>
      </c>
      <c r="AM25" s="616">
        <f>Wertebereich!J41</f>
        <v>0.7</v>
      </c>
      <c r="AN25" s="616">
        <f>Wertebereich!K41</f>
        <v>0.34</v>
      </c>
      <c r="AO25" s="616">
        <f>Wertebereich!L41</f>
        <v>0.34</v>
      </c>
      <c r="AP25" s="616">
        <f>Wertebereich!M41</f>
        <v>0.34</v>
      </c>
      <c r="AQ25" s="616">
        <f>Wertebereich!N41</f>
        <v>0.36</v>
      </c>
      <c r="AR25" s="20">
        <v>0</v>
      </c>
      <c r="AS25" s="616">
        <f>Wertebereich!P41</f>
        <v>0</v>
      </c>
      <c r="AT25" s="616">
        <f>Wertebereich!Q41</f>
        <v>0</v>
      </c>
    </row>
    <row r="26" spans="1:46" ht="15" customHeight="1" x14ac:dyDescent="0.25">
      <c r="B26" s="63">
        <v>8</v>
      </c>
      <c r="C26" s="3">
        <v>0</v>
      </c>
      <c r="M26" s="1" t="s">
        <v>32</v>
      </c>
      <c r="N26" s="244">
        <v>720</v>
      </c>
      <c r="O26" s="245">
        <v>0.28000000000000003</v>
      </c>
      <c r="P26" s="617">
        <v>0.1</v>
      </c>
      <c r="Q26" s="245">
        <v>0.14000000000000001</v>
      </c>
      <c r="R26" s="245">
        <v>0.2</v>
      </c>
      <c r="S26" s="245">
        <v>0.24</v>
      </c>
      <c r="T26" s="245">
        <v>0.28000000000000003</v>
      </c>
      <c r="U26" s="245">
        <v>0.34</v>
      </c>
      <c r="V26" s="245">
        <v>0.38</v>
      </c>
      <c r="W26" s="245">
        <v>0.42</v>
      </c>
      <c r="X26" s="245">
        <v>0.48</v>
      </c>
      <c r="Y26" s="245">
        <v>0.52</v>
      </c>
      <c r="Z26" s="245">
        <v>0.57999999999999996</v>
      </c>
      <c r="AA26" s="245">
        <v>0.62</v>
      </c>
      <c r="AB26" s="245">
        <v>0.66</v>
      </c>
      <c r="AC26" s="691">
        <v>0.08</v>
      </c>
      <c r="AD26" s="691">
        <v>0.1</v>
      </c>
      <c r="AE26" s="691">
        <v>0.13</v>
      </c>
      <c r="AF26" s="691">
        <v>0.15</v>
      </c>
      <c r="AG26" s="691">
        <v>0.18</v>
      </c>
      <c r="AH26" s="691">
        <v>0.2</v>
      </c>
      <c r="AI26" s="691">
        <v>0.23</v>
      </c>
      <c r="AJ26" s="691">
        <v>0.25</v>
      </c>
      <c r="AK26" s="691">
        <v>0.28000000000000003</v>
      </c>
      <c r="AL26" s="691">
        <v>0.3</v>
      </c>
      <c r="AM26" s="691">
        <v>0.33</v>
      </c>
      <c r="AN26" s="691">
        <v>0.35</v>
      </c>
    </row>
    <row r="27" spans="1:46" ht="15" customHeight="1" x14ac:dyDescent="0.25">
      <c r="M27" s="1" t="s">
        <v>33</v>
      </c>
      <c r="N27" s="243"/>
      <c r="O27" s="245">
        <v>0.5</v>
      </c>
      <c r="P27" s="617">
        <v>0.16</v>
      </c>
      <c r="Q27" s="245">
        <v>0.22</v>
      </c>
      <c r="R27" s="245">
        <v>0.3</v>
      </c>
      <c r="S27" s="245">
        <v>0.38</v>
      </c>
      <c r="T27" s="245">
        <v>0.46</v>
      </c>
      <c r="U27" s="245">
        <v>0.54</v>
      </c>
      <c r="V27" s="245">
        <v>0.6</v>
      </c>
      <c r="W27" s="245">
        <v>0.68</v>
      </c>
      <c r="X27" s="245">
        <v>0.76</v>
      </c>
      <c r="Y27" s="245">
        <v>0.84</v>
      </c>
      <c r="Z27" s="245">
        <v>0.92</v>
      </c>
      <c r="AA27" s="245">
        <v>0.98</v>
      </c>
      <c r="AB27" s="245">
        <v>1.06</v>
      </c>
      <c r="AC27" s="691">
        <v>0.12</v>
      </c>
      <c r="AD27" s="691">
        <v>0.16</v>
      </c>
      <c r="AE27" s="691">
        <v>0.2</v>
      </c>
      <c r="AF27" s="691">
        <v>0.24</v>
      </c>
      <c r="AG27" s="691">
        <v>0.28000000000000003</v>
      </c>
      <c r="AH27" s="691">
        <v>0.32</v>
      </c>
      <c r="AI27" s="691">
        <v>0.36</v>
      </c>
      <c r="AJ27" s="691">
        <v>0.4</v>
      </c>
      <c r="AK27" s="691">
        <v>0.44</v>
      </c>
      <c r="AL27" s="691">
        <v>0.48</v>
      </c>
      <c r="AM27" s="691">
        <v>0.52</v>
      </c>
      <c r="AN27" s="691">
        <v>0.56000000000000005</v>
      </c>
    </row>
    <row r="28" spans="1:46" ht="15" customHeight="1" x14ac:dyDescent="0.25">
      <c r="B28" s="6">
        <f>Input!J36</f>
        <v>3</v>
      </c>
      <c r="M28" s="1" t="s">
        <v>653</v>
      </c>
      <c r="N28" s="243"/>
      <c r="O28" s="245">
        <v>0.62</v>
      </c>
      <c r="P28" s="617">
        <v>0.2</v>
      </c>
      <c r="Q28" s="245">
        <v>0.28000000000000003</v>
      </c>
      <c r="R28" s="245">
        <v>0.38</v>
      </c>
      <c r="S28" s="245">
        <v>0.48</v>
      </c>
      <c r="T28" s="245">
        <v>0.57999999999999996</v>
      </c>
      <c r="U28" s="245">
        <v>0.66</v>
      </c>
      <c r="V28" s="245">
        <v>0.76</v>
      </c>
      <c r="W28" s="245">
        <v>0.86</v>
      </c>
      <c r="X28" s="245">
        <v>0.96</v>
      </c>
      <c r="Y28" s="245">
        <v>1.04</v>
      </c>
      <c r="Z28" s="245">
        <v>1.1399999999999999</v>
      </c>
      <c r="AA28" s="245">
        <v>1.24</v>
      </c>
      <c r="AB28" s="245">
        <v>1.34</v>
      </c>
      <c r="AC28" s="691">
        <v>0.15</v>
      </c>
      <c r="AD28" s="691">
        <v>0.2</v>
      </c>
      <c r="AE28" s="691">
        <v>0.25</v>
      </c>
      <c r="AF28" s="691">
        <v>0.3</v>
      </c>
      <c r="AG28" s="691">
        <v>0.35</v>
      </c>
      <c r="AH28" s="691">
        <v>0.4</v>
      </c>
      <c r="AI28" s="691">
        <v>0.45</v>
      </c>
      <c r="AJ28" s="691">
        <v>0.5</v>
      </c>
      <c r="AK28" s="691">
        <v>0.55000000000000004</v>
      </c>
      <c r="AL28" s="691">
        <v>0.6</v>
      </c>
      <c r="AM28" s="691">
        <v>0.65</v>
      </c>
      <c r="AN28" s="691">
        <v>0.7</v>
      </c>
    </row>
    <row r="29" spans="1:46" ht="15" customHeight="1" x14ac:dyDescent="0.25">
      <c r="B29" s="618" t="s">
        <v>518</v>
      </c>
      <c r="M29" s="1" t="s">
        <v>654</v>
      </c>
      <c r="N29" s="243"/>
      <c r="O29" s="245">
        <v>0.64</v>
      </c>
      <c r="P29" s="617">
        <v>0.2</v>
      </c>
      <c r="Q29" s="245">
        <v>0.3</v>
      </c>
      <c r="R29" s="245">
        <v>0.4</v>
      </c>
      <c r="S29" s="245">
        <v>0.5</v>
      </c>
      <c r="T29" s="245">
        <v>0.6</v>
      </c>
      <c r="U29" s="245">
        <v>0.7</v>
      </c>
      <c r="V29" s="245">
        <v>0.8</v>
      </c>
      <c r="W29" s="245">
        <v>0.9</v>
      </c>
      <c r="X29" s="245">
        <v>1</v>
      </c>
      <c r="Y29" s="245">
        <v>1.1000000000000001</v>
      </c>
      <c r="Z29" s="245">
        <v>1.2</v>
      </c>
      <c r="AA29" s="245">
        <v>1.3</v>
      </c>
      <c r="AB29" s="245">
        <v>1.4</v>
      </c>
      <c r="AC29" s="691"/>
      <c r="AD29" s="691"/>
      <c r="AE29" s="691"/>
      <c r="AF29" s="691"/>
      <c r="AG29" s="691"/>
      <c r="AH29" s="691"/>
      <c r="AI29" s="691"/>
      <c r="AJ29" s="691"/>
      <c r="AK29" s="691"/>
      <c r="AL29" s="691"/>
      <c r="AM29" s="691"/>
      <c r="AN29" s="691"/>
    </row>
    <row r="30" spans="1:46" ht="15" customHeight="1" x14ac:dyDescent="0.25">
      <c r="M30" s="1" t="s">
        <v>35</v>
      </c>
      <c r="N30" s="243"/>
      <c r="O30" s="245">
        <v>0.72</v>
      </c>
      <c r="P30" s="617">
        <v>0.26</v>
      </c>
      <c r="Q30" s="245">
        <v>0.4</v>
      </c>
      <c r="R30" s="245">
        <v>0.52</v>
      </c>
      <c r="S30" s="245">
        <v>0.66</v>
      </c>
      <c r="T30" s="245">
        <v>0.78</v>
      </c>
      <c r="U30" s="245">
        <v>0.92</v>
      </c>
      <c r="V30" s="245">
        <v>1.04</v>
      </c>
      <c r="W30" s="245">
        <v>1.18</v>
      </c>
      <c r="X30" s="245">
        <v>1.3</v>
      </c>
      <c r="Y30" s="245">
        <v>1.44</v>
      </c>
      <c r="Z30" s="245">
        <v>1.56</v>
      </c>
      <c r="AA30" s="245">
        <v>1.7</v>
      </c>
      <c r="AB30" s="245">
        <v>1.82</v>
      </c>
      <c r="AC30" s="691">
        <v>0.2</v>
      </c>
      <c r="AD30" s="691">
        <v>0.26</v>
      </c>
      <c r="AE30" s="691">
        <v>0.33</v>
      </c>
      <c r="AF30" s="691">
        <v>0.39</v>
      </c>
      <c r="AG30" s="691">
        <v>0.46</v>
      </c>
      <c r="AH30" s="691">
        <v>0.52</v>
      </c>
      <c r="AI30" s="691">
        <v>0.59</v>
      </c>
      <c r="AJ30" s="691">
        <v>0.65</v>
      </c>
      <c r="AK30" s="691">
        <v>0.72</v>
      </c>
      <c r="AL30" s="691">
        <v>0.78</v>
      </c>
      <c r="AM30" s="691">
        <v>0.85</v>
      </c>
      <c r="AN30" s="691">
        <v>0.91</v>
      </c>
    </row>
    <row r="31" spans="1:46" ht="15" customHeight="1" x14ac:dyDescent="0.25">
      <c r="M31" s="1" t="s">
        <v>655</v>
      </c>
      <c r="N31" s="243"/>
      <c r="O31" s="245">
        <v>0.62</v>
      </c>
      <c r="P31" s="617">
        <v>0.18</v>
      </c>
      <c r="Q31" s="245">
        <v>0.28000000000000003</v>
      </c>
      <c r="R31" s="245">
        <v>0.36</v>
      </c>
      <c r="S31" s="245">
        <v>0.46</v>
      </c>
      <c r="T31" s="245">
        <v>0.54</v>
      </c>
      <c r="U31" s="245">
        <v>0.64</v>
      </c>
      <c r="V31" s="245">
        <v>0.72</v>
      </c>
      <c r="W31" s="245">
        <v>0.82</v>
      </c>
      <c r="X31" s="245">
        <v>0.9</v>
      </c>
      <c r="Y31" s="245">
        <v>1</v>
      </c>
      <c r="Z31" s="245">
        <v>1.08</v>
      </c>
      <c r="AA31" s="245">
        <v>1.18</v>
      </c>
      <c r="AB31" s="245">
        <v>1.26</v>
      </c>
      <c r="AC31" s="691"/>
      <c r="AD31" s="691"/>
      <c r="AE31" s="691"/>
      <c r="AF31" s="691"/>
      <c r="AG31" s="691"/>
      <c r="AH31" s="691"/>
      <c r="AI31" s="691"/>
      <c r="AJ31" s="691"/>
      <c r="AK31" s="691"/>
      <c r="AL31" s="691"/>
      <c r="AM31" s="691"/>
      <c r="AN31" s="691"/>
    </row>
    <row r="32" spans="1:46" ht="15" customHeight="1" x14ac:dyDescent="0.25">
      <c r="M32" s="1" t="s">
        <v>656</v>
      </c>
      <c r="N32" s="243"/>
      <c r="O32" s="245">
        <v>0.46</v>
      </c>
      <c r="P32" s="617">
        <v>0.14000000000000001</v>
      </c>
      <c r="Q32" s="245">
        <v>0.2</v>
      </c>
      <c r="R32" s="245">
        <v>0.28000000000000003</v>
      </c>
      <c r="S32" s="245">
        <v>0.34</v>
      </c>
      <c r="T32" s="245">
        <v>0.4</v>
      </c>
      <c r="U32" s="245">
        <v>0.48</v>
      </c>
      <c r="V32" s="245">
        <v>0.54</v>
      </c>
      <c r="W32" s="245">
        <v>0.6</v>
      </c>
      <c r="X32" s="245">
        <v>0.68</v>
      </c>
      <c r="Y32" s="245">
        <v>0.74</v>
      </c>
      <c r="Z32" s="245">
        <v>0.82</v>
      </c>
      <c r="AA32" s="245">
        <v>0.88</v>
      </c>
      <c r="AB32" s="245">
        <v>0.94</v>
      </c>
      <c r="AC32" s="691">
        <v>0.14000000000000001</v>
      </c>
      <c r="AD32" s="691">
        <v>0.18</v>
      </c>
      <c r="AE32" s="691">
        <v>0.23</v>
      </c>
      <c r="AF32" s="691">
        <v>0.27</v>
      </c>
      <c r="AG32" s="691">
        <v>0.32</v>
      </c>
      <c r="AH32" s="691">
        <v>0.36</v>
      </c>
      <c r="AI32" s="691">
        <v>0.41</v>
      </c>
      <c r="AJ32" s="691">
        <v>0.45</v>
      </c>
      <c r="AK32" s="691">
        <v>0.5</v>
      </c>
      <c r="AL32" s="691">
        <v>0.54</v>
      </c>
      <c r="AM32" s="691">
        <v>0.59</v>
      </c>
      <c r="AN32" s="691">
        <v>0.63</v>
      </c>
    </row>
    <row r="33" spans="1:40" ht="15" customHeight="1" x14ac:dyDescent="0.25">
      <c r="M33" s="1" t="s">
        <v>32</v>
      </c>
      <c r="N33" s="244">
        <v>360</v>
      </c>
      <c r="O33" s="245">
        <v>0.29900000000000004</v>
      </c>
      <c r="P33" s="617">
        <v>0.12</v>
      </c>
      <c r="Q33" s="245">
        <v>0.18</v>
      </c>
      <c r="R33" s="245">
        <v>0.22</v>
      </c>
      <c r="S33" s="245">
        <v>0.28000000000000003</v>
      </c>
      <c r="T33" s="245">
        <v>0.34</v>
      </c>
      <c r="U33" s="245">
        <v>0.4</v>
      </c>
      <c r="V33" s="245">
        <v>0.46</v>
      </c>
      <c r="W33" s="245">
        <v>0.52</v>
      </c>
      <c r="X33" s="245">
        <v>0.57999999999999996</v>
      </c>
      <c r="Y33" s="245">
        <v>0.62</v>
      </c>
      <c r="Z33" s="245">
        <v>0.68</v>
      </c>
      <c r="AA33" s="245">
        <v>0.74</v>
      </c>
      <c r="AB33" s="245">
        <v>0.8</v>
      </c>
      <c r="AC33" s="691">
        <v>0.09</v>
      </c>
      <c r="AD33" s="691">
        <v>0.12</v>
      </c>
      <c r="AE33" s="691">
        <v>0.15</v>
      </c>
      <c r="AF33" s="691">
        <v>0.18</v>
      </c>
      <c r="AG33" s="691">
        <v>0.21</v>
      </c>
      <c r="AH33" s="691">
        <v>0.24</v>
      </c>
      <c r="AI33" s="691">
        <v>0.27</v>
      </c>
      <c r="AJ33" s="691">
        <v>0.3</v>
      </c>
      <c r="AK33" s="691">
        <v>0.33</v>
      </c>
      <c r="AL33" s="691">
        <v>0.36</v>
      </c>
      <c r="AM33" s="691">
        <v>0.39</v>
      </c>
      <c r="AN33" s="691">
        <v>0.42</v>
      </c>
    </row>
    <row r="34" spans="1:40" ht="15" customHeight="1" x14ac:dyDescent="0.25">
      <c r="M34" s="1" t="s">
        <v>33</v>
      </c>
      <c r="N34" s="244"/>
      <c r="O34" s="245">
        <v>0.55699999999999994</v>
      </c>
      <c r="P34" s="617">
        <v>0.18</v>
      </c>
      <c r="Q34" s="245">
        <v>0.26</v>
      </c>
      <c r="R34" s="245">
        <v>0.34</v>
      </c>
      <c r="S34" s="245">
        <v>0.42</v>
      </c>
      <c r="T34" s="245">
        <v>0.52</v>
      </c>
      <c r="U34" s="245">
        <v>0.6</v>
      </c>
      <c r="V34" s="245">
        <v>0.68</v>
      </c>
      <c r="W34" s="245">
        <v>0.76</v>
      </c>
      <c r="X34" s="245">
        <v>0.86</v>
      </c>
      <c r="Y34" s="245">
        <v>0.94</v>
      </c>
      <c r="Z34" s="245">
        <v>1.02</v>
      </c>
      <c r="AA34" s="245">
        <v>1.1200000000000001</v>
      </c>
      <c r="AB34" s="245">
        <v>1.2</v>
      </c>
      <c r="AC34" s="691">
        <v>0.14000000000000001</v>
      </c>
      <c r="AD34" s="691">
        <v>0.18</v>
      </c>
      <c r="AE34" s="691">
        <v>0.23</v>
      </c>
      <c r="AF34" s="691">
        <v>0.27</v>
      </c>
      <c r="AG34" s="691">
        <v>0.32</v>
      </c>
      <c r="AH34" s="691">
        <v>0.36</v>
      </c>
      <c r="AI34" s="691">
        <v>0.41</v>
      </c>
      <c r="AJ34" s="691">
        <v>0.45</v>
      </c>
      <c r="AK34" s="691">
        <v>0.5</v>
      </c>
      <c r="AL34" s="691">
        <v>0.54</v>
      </c>
      <c r="AM34" s="691">
        <v>0.59</v>
      </c>
      <c r="AN34" s="691">
        <v>0.63</v>
      </c>
    </row>
    <row r="35" spans="1:40" ht="15" customHeight="1" x14ac:dyDescent="0.25">
      <c r="M35" s="1" t="s">
        <v>653</v>
      </c>
      <c r="N35" s="244"/>
      <c r="O35" s="245">
        <v>0.67700000000000005</v>
      </c>
      <c r="P35" s="617">
        <v>0.2</v>
      </c>
      <c r="Q35" s="245">
        <v>0.32</v>
      </c>
      <c r="R35" s="245">
        <v>0.42</v>
      </c>
      <c r="S35" s="245">
        <v>0.52</v>
      </c>
      <c r="T35" s="245">
        <v>0.62</v>
      </c>
      <c r="U35" s="245">
        <v>0.74</v>
      </c>
      <c r="V35" s="245">
        <v>0.84</v>
      </c>
      <c r="W35" s="245">
        <v>0.94</v>
      </c>
      <c r="X35" s="245">
        <v>1.04</v>
      </c>
      <c r="Y35" s="245">
        <v>1.1399999999999999</v>
      </c>
      <c r="Z35" s="245">
        <v>1.26</v>
      </c>
      <c r="AA35" s="245">
        <v>1.36</v>
      </c>
      <c r="AB35" s="245">
        <v>1.46</v>
      </c>
      <c r="AC35" s="691">
        <v>0.17</v>
      </c>
      <c r="AD35" s="691">
        <v>0.22</v>
      </c>
      <c r="AE35" s="691">
        <v>0.28000000000000003</v>
      </c>
      <c r="AF35" s="691">
        <v>0.33</v>
      </c>
      <c r="AG35" s="691">
        <v>0.39</v>
      </c>
      <c r="AH35" s="691">
        <v>0.44</v>
      </c>
      <c r="AI35" s="691">
        <v>0.5</v>
      </c>
      <c r="AJ35" s="691">
        <v>0.55000000000000004</v>
      </c>
      <c r="AK35" s="691">
        <v>0.61</v>
      </c>
      <c r="AL35" s="691">
        <v>0.66</v>
      </c>
      <c r="AM35" s="691">
        <v>0.72</v>
      </c>
      <c r="AN35" s="691">
        <v>0.77</v>
      </c>
    </row>
    <row r="36" spans="1:40" ht="15" customHeight="1" x14ac:dyDescent="0.25">
      <c r="M36" s="1" t="s">
        <v>654</v>
      </c>
      <c r="N36" s="244"/>
      <c r="O36" s="245">
        <v>0.7</v>
      </c>
      <c r="P36" s="617">
        <v>0.22</v>
      </c>
      <c r="Q36" s="245">
        <v>0.34</v>
      </c>
      <c r="R36" s="245">
        <v>0.44</v>
      </c>
      <c r="S36" s="245">
        <v>0.56000000000000005</v>
      </c>
      <c r="T36" s="245">
        <v>0.66</v>
      </c>
      <c r="U36" s="245">
        <v>0.78</v>
      </c>
      <c r="V36" s="245">
        <v>0.88</v>
      </c>
      <c r="W36" s="245">
        <v>1</v>
      </c>
      <c r="X36" s="245">
        <v>1.1000000000000001</v>
      </c>
      <c r="Y36" s="245">
        <v>1.22</v>
      </c>
      <c r="Z36" s="245">
        <v>1.32</v>
      </c>
      <c r="AA36" s="245">
        <v>1.44</v>
      </c>
      <c r="AB36" s="245">
        <v>1.54</v>
      </c>
      <c r="AC36" s="691"/>
      <c r="AD36" s="691"/>
      <c r="AE36" s="691"/>
      <c r="AF36" s="691"/>
      <c r="AG36" s="691"/>
      <c r="AH36" s="691"/>
      <c r="AI36" s="691"/>
      <c r="AJ36" s="691"/>
      <c r="AK36" s="691"/>
      <c r="AL36" s="691"/>
      <c r="AM36" s="691"/>
      <c r="AN36" s="691"/>
    </row>
    <row r="37" spans="1:40" ht="15" customHeight="1" x14ac:dyDescent="0.25">
      <c r="M37" s="1" t="s">
        <v>35</v>
      </c>
      <c r="N37" s="244"/>
      <c r="O37" s="245">
        <v>0.79999999999999993</v>
      </c>
      <c r="P37" s="617">
        <v>0.3</v>
      </c>
      <c r="Q37" s="245">
        <v>0.46</v>
      </c>
      <c r="R37" s="245">
        <v>0.6</v>
      </c>
      <c r="S37" s="245">
        <v>0.76</v>
      </c>
      <c r="T37" s="245">
        <v>0.9</v>
      </c>
      <c r="U37" s="245">
        <v>1.06</v>
      </c>
      <c r="V37" s="245">
        <v>1.2</v>
      </c>
      <c r="W37" s="245">
        <v>1.36</v>
      </c>
      <c r="X37" s="245">
        <v>1.5</v>
      </c>
      <c r="Y37" s="245">
        <v>1.66</v>
      </c>
      <c r="Z37" s="245">
        <v>1.8</v>
      </c>
      <c r="AA37" s="245">
        <v>1.96</v>
      </c>
      <c r="AB37" s="245">
        <v>2.1</v>
      </c>
      <c r="AC37" s="691">
        <v>0.23</v>
      </c>
      <c r="AD37" s="691">
        <v>0.3</v>
      </c>
      <c r="AE37" s="691">
        <v>0.38</v>
      </c>
      <c r="AF37" s="691">
        <v>0.45</v>
      </c>
      <c r="AG37" s="691">
        <v>0.53</v>
      </c>
      <c r="AH37" s="691">
        <v>0.6</v>
      </c>
      <c r="AI37" s="691">
        <v>0.68</v>
      </c>
      <c r="AJ37" s="691">
        <v>0.75</v>
      </c>
      <c r="AK37" s="691">
        <v>0.83</v>
      </c>
      <c r="AL37" s="691">
        <v>0.9</v>
      </c>
      <c r="AM37" s="691">
        <v>0.98</v>
      </c>
      <c r="AN37" s="691">
        <v>1.05</v>
      </c>
    </row>
    <row r="38" spans="1:40" ht="15" customHeight="1" x14ac:dyDescent="0.25">
      <c r="A38" s="643" t="s">
        <v>558</v>
      </c>
      <c r="M38" s="1" t="s">
        <v>655</v>
      </c>
      <c r="N38" s="244"/>
      <c r="O38" s="245">
        <v>0.67999999999999994</v>
      </c>
      <c r="P38" s="617">
        <v>0.2</v>
      </c>
      <c r="Q38" s="245">
        <v>0.3</v>
      </c>
      <c r="R38" s="245">
        <v>0.4</v>
      </c>
      <c r="S38" s="245">
        <v>0.5</v>
      </c>
      <c r="T38" s="245">
        <v>0.6</v>
      </c>
      <c r="U38" s="245">
        <v>0.7</v>
      </c>
      <c r="V38" s="245">
        <v>0.8</v>
      </c>
      <c r="W38" s="245">
        <v>0.9</v>
      </c>
      <c r="X38" s="245">
        <v>1</v>
      </c>
      <c r="Y38" s="245">
        <v>1.1000000000000001</v>
      </c>
      <c r="Z38" s="245">
        <v>1.2</v>
      </c>
      <c r="AA38" s="245">
        <v>1.3</v>
      </c>
      <c r="AB38" s="245">
        <v>1.4</v>
      </c>
      <c r="AC38" s="691"/>
      <c r="AD38" s="691"/>
      <c r="AE38" s="691"/>
      <c r="AF38" s="691"/>
      <c r="AG38" s="691"/>
      <c r="AH38" s="691"/>
      <c r="AI38" s="691"/>
      <c r="AJ38" s="691"/>
      <c r="AK38" s="691"/>
      <c r="AL38" s="691"/>
      <c r="AM38" s="691"/>
      <c r="AN38" s="691"/>
    </row>
    <row r="39" spans="1:40" ht="15" customHeight="1" x14ac:dyDescent="0.25">
      <c r="A39" s="35" t="s">
        <v>557</v>
      </c>
      <c r="M39" s="1" t="s">
        <v>656</v>
      </c>
      <c r="N39" s="244"/>
      <c r="O39" s="245">
        <v>0.52</v>
      </c>
      <c r="P39" s="617">
        <v>0.16</v>
      </c>
      <c r="Q39" s="245">
        <v>0.22</v>
      </c>
      <c r="R39" s="245">
        <v>0.3</v>
      </c>
      <c r="S39" s="245">
        <v>0.38</v>
      </c>
      <c r="T39" s="245">
        <v>0.46</v>
      </c>
      <c r="U39" s="245">
        <v>0.52</v>
      </c>
      <c r="V39" s="245">
        <v>0.6</v>
      </c>
      <c r="W39" s="245">
        <v>0.68</v>
      </c>
      <c r="X39" s="245">
        <v>0.76</v>
      </c>
      <c r="Y39" s="245">
        <v>0.82</v>
      </c>
      <c r="Z39" s="245">
        <v>0.9</v>
      </c>
      <c r="AA39" s="245">
        <v>0.98</v>
      </c>
      <c r="AB39" s="245">
        <v>1.06</v>
      </c>
      <c r="AC39" s="691">
        <v>0.15</v>
      </c>
      <c r="AD39" s="691">
        <v>0.2</v>
      </c>
      <c r="AE39" s="691">
        <v>0.25</v>
      </c>
      <c r="AF39" s="691">
        <v>0.3</v>
      </c>
      <c r="AG39" s="691">
        <v>0.35</v>
      </c>
      <c r="AH39" s="691">
        <v>0.4</v>
      </c>
      <c r="AI39" s="691">
        <v>0.45</v>
      </c>
      <c r="AJ39" s="691">
        <v>0.5</v>
      </c>
      <c r="AK39" s="691">
        <v>0.55000000000000004</v>
      </c>
      <c r="AL39" s="691">
        <v>0.6</v>
      </c>
      <c r="AM39" s="691">
        <v>0.65</v>
      </c>
      <c r="AN39" s="691">
        <v>0.7</v>
      </c>
    </row>
    <row r="40" spans="1:40" ht="15" customHeight="1" x14ac:dyDescent="0.25">
      <c r="A40" s="17">
        <v>211</v>
      </c>
      <c r="B40" s="644">
        <f>IF(B4&lt;R5,0,IF(B4-Q14&gt;Q7,Q7,IF(B4-Q14&lt;Q3,Q3,B4-Q14)))</f>
        <v>0</v>
      </c>
      <c r="Y40" s="1">
        <v>1.5</v>
      </c>
      <c r="Z40" s="1">
        <v>2</v>
      </c>
      <c r="AA40" s="1">
        <v>2.5</v>
      </c>
      <c r="AB40" s="1">
        <v>3</v>
      </c>
      <c r="AC40" s="1">
        <v>3.5</v>
      </c>
      <c r="AD40" s="1">
        <v>4</v>
      </c>
      <c r="AE40" s="1">
        <v>4.5</v>
      </c>
      <c r="AF40" s="1">
        <v>5</v>
      </c>
      <c r="AG40" s="1">
        <v>5.5</v>
      </c>
      <c r="AH40" s="1">
        <v>6</v>
      </c>
      <c r="AI40" s="1">
        <v>6.5</v>
      </c>
      <c r="AJ40" s="1">
        <v>7</v>
      </c>
    </row>
    <row r="41" spans="1:40" ht="15" customHeight="1" x14ac:dyDescent="0.25">
      <c r="A41" s="17">
        <v>212</v>
      </c>
      <c r="B41" s="644">
        <f>IF(B4&lt;R5,0,IF(B4-Q14&gt;Q9,Q9,IF(B4-Q14&lt;Q3,Q3,B4-Q14)))</f>
        <v>0</v>
      </c>
    </row>
    <row r="42" spans="1:40" ht="15" customHeight="1" x14ac:dyDescent="0.25">
      <c r="A42" s="17">
        <v>213</v>
      </c>
      <c r="B42" s="644">
        <f>IF(B4&lt;R5,0,IF(B4-Q14&gt;Q11,Q11,IF(B4-Q14&lt;Q3,Q3,B4-Q14)))</f>
        <v>0</v>
      </c>
    </row>
    <row r="43" spans="1:40" ht="15" customHeight="1" x14ac:dyDescent="0.25">
      <c r="A43" s="17">
        <v>214</v>
      </c>
      <c r="B43" s="644">
        <f>IF(B4&lt;R5,0,IF(B4-Q14&gt;Q2,Q2,IF(B4-Q14&lt;Q3,Q3,B4-Q14)))</f>
        <v>0</v>
      </c>
    </row>
    <row r="44" spans="1:40" ht="15" customHeight="1" x14ac:dyDescent="0.25">
      <c r="A44" s="17">
        <v>215</v>
      </c>
      <c r="B44" s="644">
        <f>IF(B4&lt;R5,0,IF(B4-Q14&gt;Q8,Q8,IF(B4-Q14&lt;Q3,Q3,B4-Q14)))</f>
        <v>0</v>
      </c>
    </row>
    <row r="45" spans="1:40" ht="15" customHeight="1" x14ac:dyDescent="0.25">
      <c r="A45" s="17">
        <v>216</v>
      </c>
      <c r="B45" s="644">
        <f>IF(B4&lt;R5,0,IF(B4-Q14&gt;Q2-Q6,Q2-Q6,IF(B4-Q14&lt;Q3,Q3,B4-Q14)))</f>
        <v>0</v>
      </c>
    </row>
    <row r="46" spans="1:40" ht="15" customHeight="1" x14ac:dyDescent="0.25">
      <c r="A46" s="17">
        <v>217</v>
      </c>
      <c r="B46" s="644">
        <f>IF(B4&lt;R5,0,IF(B4-Q14&gt;Q9*2,Q9*2,IF(B4-Q14&lt;Q3,Q3,B4-Q14)))</f>
        <v>0</v>
      </c>
    </row>
    <row r="47" spans="1:40" ht="15" customHeight="1" x14ac:dyDescent="0.25">
      <c r="A47" s="17">
        <v>221</v>
      </c>
      <c r="B47" s="644">
        <f>C7</f>
        <v>3780</v>
      </c>
    </row>
    <row r="48" spans="1:40" ht="15" customHeight="1" x14ac:dyDescent="0.25">
      <c r="A48" s="17">
        <v>222</v>
      </c>
      <c r="B48" s="644">
        <f>D7</f>
        <v>3780</v>
      </c>
    </row>
    <row r="49" spans="1:2" ht="15" customHeight="1" x14ac:dyDescent="0.25">
      <c r="A49" s="17">
        <v>223</v>
      </c>
      <c r="B49" s="644">
        <f>E7</f>
        <v>3780</v>
      </c>
    </row>
    <row r="50" spans="1:2" ht="15" customHeight="1" x14ac:dyDescent="0.25">
      <c r="A50" s="17">
        <v>224</v>
      </c>
      <c r="B50" s="644">
        <f>F7</f>
        <v>3780</v>
      </c>
    </row>
    <row r="51" spans="1:2" ht="15" customHeight="1" x14ac:dyDescent="0.25">
      <c r="A51" s="17">
        <v>225</v>
      </c>
      <c r="B51" s="644">
        <f>G7</f>
        <v>3780</v>
      </c>
    </row>
    <row r="52" spans="1:2" ht="15" customHeight="1" x14ac:dyDescent="0.25">
      <c r="A52" s="17">
        <v>226</v>
      </c>
      <c r="B52" s="644">
        <f>H7</f>
        <v>3780</v>
      </c>
    </row>
    <row r="53" spans="1:2" ht="15" customHeight="1" x14ac:dyDescent="0.25">
      <c r="A53" s="17">
        <v>227</v>
      </c>
      <c r="B53" s="644">
        <f>I7</f>
        <v>3780</v>
      </c>
    </row>
    <row r="54" spans="1:2" ht="15" customHeight="1" x14ac:dyDescent="0.25">
      <c r="A54" s="17">
        <v>231</v>
      </c>
      <c r="B54" s="17">
        <f>IF(B4&lt;Q5,0,IF(B4-Q14&gt;Q7,Q7,B4-Q14))</f>
        <v>0</v>
      </c>
    </row>
    <row r="55" spans="1:2" ht="15" customHeight="1" x14ac:dyDescent="0.25">
      <c r="A55" s="17">
        <v>232</v>
      </c>
      <c r="B55" s="17">
        <f>IF(B4&lt;Q5,0,IF(B4-Q14&gt;Q9,Q9,B4-Q14))</f>
        <v>0</v>
      </c>
    </row>
    <row r="56" spans="1:2" ht="15" customHeight="1" x14ac:dyDescent="0.25">
      <c r="A56" s="17">
        <v>233</v>
      </c>
      <c r="B56" s="17">
        <f>IF(B4&lt;Q5,0,IF(B4-Q14&gt;Q11,Q11,B4-Q14))</f>
        <v>0</v>
      </c>
    </row>
    <row r="57" spans="1:2" ht="15" customHeight="1" x14ac:dyDescent="0.25">
      <c r="A57" s="17">
        <v>234</v>
      </c>
      <c r="B57" s="17">
        <f>IF(B4&lt;Q5,0,IF(B4-Q14&gt;Q2,Q2,B4-Q14))</f>
        <v>0</v>
      </c>
    </row>
    <row r="58" spans="1:2" ht="15" customHeight="1" x14ac:dyDescent="0.25">
      <c r="A58" s="17">
        <v>235</v>
      </c>
      <c r="B58" s="17">
        <f>IF(B4&lt;Q5,0,IF(B4-Q14&gt;Q8,Q8,B4-Q14))</f>
        <v>0</v>
      </c>
    </row>
    <row r="59" spans="1:2" ht="15" customHeight="1" x14ac:dyDescent="0.25">
      <c r="A59" s="17">
        <v>236</v>
      </c>
      <c r="B59" s="17">
        <f>IF(B4&lt;Q5,0,IF(B4-Q14&gt;Q2-Q6,Q2-Q6,B4-Q14))</f>
        <v>0</v>
      </c>
    </row>
    <row r="60" spans="1:2" ht="15" customHeight="1" x14ac:dyDescent="0.25">
      <c r="A60" s="17">
        <v>237</v>
      </c>
      <c r="B60" s="17">
        <f>IF(B4&lt;Q5,0,IF(B4-Q14&gt;Q9*2,Q9*2,B4-Q14))</f>
        <v>0</v>
      </c>
    </row>
    <row r="61" spans="1:2" ht="15" customHeight="1" x14ac:dyDescent="0.25">
      <c r="A61" s="17">
        <v>553</v>
      </c>
      <c r="B61" s="644">
        <f>E10</f>
        <v>0</v>
      </c>
    </row>
  </sheetData>
  <sheetProtection algorithmName="SHA-512" hashValue="z3qa7nQYOgaVKkrBq31W1J+hsvAPWZvZDnx1Adf6HRmgNaySxLQkCe7ESrW6c6vdaQNV7f/MoenbPHf5+mc1Yw==" saltValue="UBCWPZ7eXB8IySeQHh7KWw==" spinCount="100000" sheet="1" objects="1" scenarios="1"/>
  <phoneticPr fontId="2" type="noConversion"/>
  <pageMargins left="0.78740157499999996" right="0.78740157499999996" top="0.984251969" bottom="0.984251969" header="0.4921259845" footer="0.4921259845"/>
  <pageSetup paperSize="9" orientation="portrait" r:id="rId1"/>
  <headerFooter alignWithMargins="0"/>
  <customProperties>
    <customPr name="SSCSheetTrackingNo"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6</vt:i4>
      </vt:variant>
    </vt:vector>
  </HeadingPairs>
  <TitlesOfParts>
    <vt:vector size="16" baseType="lpstr">
      <vt:lpstr>Beiträge</vt:lpstr>
      <vt:lpstr>Hilfe-Aide</vt:lpstr>
      <vt:lpstr>Übersetzungen</vt:lpstr>
      <vt:lpstr>Input</vt:lpstr>
      <vt:lpstr>Versicherungsausweis</vt:lpstr>
      <vt:lpstr>Planbeschrieb</vt:lpstr>
      <vt:lpstr>Code</vt:lpstr>
      <vt:lpstr>Wertebereich</vt:lpstr>
      <vt:lpstr>Tabellen B</vt:lpstr>
      <vt:lpstr>Tabellen L</vt:lpstr>
      <vt:lpstr>Beiträge!Druckbereich</vt:lpstr>
      <vt:lpstr>Code!Druckbereich</vt:lpstr>
      <vt:lpstr>Input!Druckbereich</vt:lpstr>
      <vt:lpstr>Planbeschrieb!Druckbereich</vt:lpstr>
      <vt:lpstr>Versicherungsausweis!Druckbereich</vt:lpstr>
      <vt:lpstr>Input!Drucktitel</vt:lpstr>
    </vt:vector>
  </TitlesOfParts>
  <Company>medisuisse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Ausgleichskasse medisuisse</dc:creator>
  <cp:lastModifiedBy>Andreas Frei</cp:lastModifiedBy>
  <cp:lastPrinted>2025-12-10T15:11:45Z</cp:lastPrinted>
  <dcterms:created xsi:type="dcterms:W3CDTF">2011-04-18T09:31:55Z</dcterms:created>
  <dcterms:modified xsi:type="dcterms:W3CDTF">2026-02-24T12:24:28Z</dcterms:modified>
</cp:coreProperties>
</file>